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2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3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5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6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7.xml" ContentType="application/vnd.openxmlformats-officedocument.drawing+xml"/>
  <Override PartName="/xl/embeddings/oleObject2.bin" ContentType="application/vnd.openxmlformats-officedocument.oleObject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9.xml" ContentType="application/vnd.openxmlformats-officedocument.drawing+xml"/>
  <Override PartName="/xl/embeddings/oleObject3.bin" ContentType="application/vnd.openxmlformats-officedocument.oleObject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drawings/drawing10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DieseArbeitsmappe" defaultThemeVersion="124226"/>
  <bookViews>
    <workbookView xWindow="0" yWindow="0" windowWidth="28800" windowHeight="11985" activeTab="5"/>
  </bookViews>
  <sheets>
    <sheet name="Info" sheetId="4" r:id="rId1"/>
    <sheet name="DP" sheetId="13" r:id="rId2"/>
    <sheet name="DS" sheetId="15" r:id="rId3"/>
    <sheet name="R.16" sheetId="14" r:id="rId4"/>
    <sheet name="DR44x44" sheetId="16" r:id="rId5"/>
    <sheet name="DR29x29" sheetId="17" r:id="rId6"/>
    <sheet name="FX.12" sheetId="18" r:id="rId7"/>
    <sheet name="PR" sheetId="19" r:id="rId8"/>
    <sheet name="QR" sheetId="20" r:id="rId9"/>
    <sheet name="RI" sheetId="1" r:id="rId10"/>
    <sheet name="Formeln" sheetId="2" state="hidden" r:id="rId11"/>
    <sheet name="Sprachindex" sheetId="3" state="hidden" r:id="rId12"/>
  </sheets>
  <definedNames>
    <definedName name="_xlnm._FilterDatabase" localSheetId="1" hidden="1">DP!$A$22:$A$89</definedName>
    <definedName name="_xlnm._FilterDatabase" localSheetId="5" hidden="1">DR29x29!$A$22:$A$86</definedName>
    <definedName name="_xlnm._FilterDatabase" localSheetId="4" hidden="1">DR44x44!$A$22:$A$85</definedName>
    <definedName name="_xlnm._FilterDatabase" localSheetId="2" hidden="1">DS!$A$22:$A$86</definedName>
    <definedName name="_xlnm._FilterDatabase" localSheetId="6" hidden="1">FX.12!$A$22:$A$84</definedName>
    <definedName name="_xlnm._FilterDatabase" localSheetId="7" hidden="1">PR!$A$22:$A$68</definedName>
    <definedName name="_xlnm._FilterDatabase" localSheetId="8" hidden="1">QR!$A$22:$A$43</definedName>
    <definedName name="_xlnm._FilterDatabase" localSheetId="3" hidden="1">R.16!$A$22:$A$83</definedName>
    <definedName name="_xlnm._FilterDatabase" localSheetId="9" hidden="1">RI!$A$30:$A$103</definedName>
    <definedName name="_xlnm.Print_Area" localSheetId="0">Info!$A$1:$N$60</definedName>
    <definedName name="_xlnm.Print_Area" localSheetId="3">R.16!$A$1:$N$93</definedName>
  </definedNames>
  <calcPr calcId="162913" concurrentCalc="0"/>
</workbook>
</file>

<file path=xl/calcChain.xml><?xml version="1.0" encoding="utf-8"?>
<calcChain xmlns="http://schemas.openxmlformats.org/spreadsheetml/2006/main">
  <c r="Q78" i="18" l="1"/>
  <c r="B78" i="18"/>
  <c r="Q80" i="17"/>
  <c r="B80" i="17"/>
  <c r="Q79" i="16"/>
  <c r="B79" i="16"/>
  <c r="Q77" i="14"/>
  <c r="B77" i="14"/>
  <c r="B80" i="15"/>
  <c r="Q80" i="15"/>
  <c r="Q81" i="13"/>
  <c r="B81" i="13"/>
  <c r="L12" i="1"/>
  <c r="I12" i="1"/>
  <c r="L12" i="20"/>
  <c r="I12" i="20"/>
  <c r="L12" i="19"/>
  <c r="I12" i="19"/>
  <c r="L12" i="18"/>
  <c r="I12" i="18"/>
  <c r="L12" i="17"/>
  <c r="I12" i="17"/>
  <c r="L12" i="16"/>
  <c r="I12" i="16"/>
  <c r="L12" i="14"/>
  <c r="I12" i="14"/>
  <c r="L12" i="15"/>
  <c r="I12" i="15"/>
  <c r="Q45" i="1"/>
  <c r="L45" i="1"/>
  <c r="E45" i="1"/>
  <c r="B45" i="1"/>
  <c r="Q33" i="18"/>
  <c r="Q35" i="17"/>
  <c r="Q34" i="16"/>
  <c r="Q32" i="14"/>
  <c r="Q34" i="15"/>
  <c r="Q35" i="13"/>
  <c r="G16" i="20"/>
  <c r="B30" i="4"/>
  <c r="B46" i="4"/>
  <c r="B40" i="4"/>
  <c r="B36" i="4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Q67" i="1"/>
  <c r="Q66" i="1"/>
  <c r="Q38" i="20"/>
  <c r="Q37" i="20"/>
  <c r="Q65" i="18"/>
  <c r="Q67" i="17"/>
  <c r="Q66" i="16"/>
  <c r="Q64" i="14"/>
  <c r="Q67" i="15"/>
  <c r="Q68" i="13"/>
  <c r="Q24" i="16"/>
  <c r="Q24" i="14"/>
  <c r="Q25" i="18"/>
  <c r="Q24" i="18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A181" i="2"/>
  <c r="B211" i="2"/>
  <c r="E211" i="2"/>
  <c r="Q47" i="1"/>
  <c r="E29" i="19"/>
  <c r="E61" i="16"/>
  <c r="E60" i="18"/>
  <c r="E62" i="17"/>
  <c r="E59" i="14"/>
  <c r="E62" i="15"/>
  <c r="E63" i="13"/>
  <c r="I18" i="19"/>
  <c r="I17" i="19"/>
  <c r="A141" i="2"/>
  <c r="G21" i="19"/>
  <c r="J17" i="18"/>
  <c r="J17" i="17"/>
  <c r="J17" i="16"/>
  <c r="J17" i="14"/>
  <c r="J17" i="15"/>
  <c r="J17" i="13"/>
  <c r="A140" i="2"/>
  <c r="I15" i="19"/>
  <c r="J16" i="18"/>
  <c r="J16" i="17"/>
  <c r="J16" i="16"/>
  <c r="J16" i="14"/>
  <c r="J16" i="15"/>
  <c r="J16" i="13"/>
  <c r="A139" i="2"/>
  <c r="G20" i="19"/>
  <c r="J15" i="18"/>
  <c r="J15" i="17"/>
  <c r="J15" i="16"/>
  <c r="J15" i="14"/>
  <c r="J15" i="15"/>
  <c r="J15" i="13"/>
  <c r="A138" i="2"/>
  <c r="I16" i="19"/>
  <c r="G20" i="18"/>
  <c r="G20" i="17"/>
  <c r="G20" i="16"/>
  <c r="G20" i="14"/>
  <c r="G20" i="15"/>
  <c r="G20" i="13"/>
  <c r="A137" i="2"/>
  <c r="G19" i="19"/>
  <c r="G19" i="18"/>
  <c r="G19" i="17"/>
  <c r="G19" i="16"/>
  <c r="G19" i="14"/>
  <c r="G19" i="15"/>
  <c r="G19" i="13"/>
  <c r="A136" i="2"/>
  <c r="G18" i="19"/>
  <c r="G18" i="18"/>
  <c r="G18" i="17"/>
  <c r="G18" i="16"/>
  <c r="G18" i="14"/>
  <c r="G18" i="15"/>
  <c r="G18" i="13"/>
  <c r="A135" i="2"/>
  <c r="G17" i="19"/>
  <c r="G17" i="18"/>
  <c r="G17" i="17"/>
  <c r="G17" i="16"/>
  <c r="G17" i="14"/>
  <c r="G17" i="15"/>
  <c r="G17" i="13"/>
  <c r="A134" i="2"/>
  <c r="G16" i="19"/>
  <c r="G16" i="18"/>
  <c r="G16" i="17"/>
  <c r="G16" i="16"/>
  <c r="G16" i="14"/>
  <c r="G16" i="15"/>
  <c r="G16" i="13"/>
  <c r="G16" i="1"/>
  <c r="A133" i="2"/>
  <c r="G15" i="19"/>
  <c r="G15" i="18"/>
  <c r="G15" i="17"/>
  <c r="G15" i="16"/>
  <c r="G15" i="14"/>
  <c r="G15" i="15"/>
  <c r="G15" i="13"/>
  <c r="E35" i="20"/>
  <c r="E25" i="15"/>
  <c r="E24" i="14"/>
  <c r="I8" i="19"/>
  <c r="I8" i="17"/>
  <c r="I8" i="16"/>
  <c r="I8" i="15"/>
  <c r="I8" i="14"/>
  <c r="I12" i="13"/>
  <c r="I8" i="13"/>
  <c r="A142" i="2"/>
  <c r="A120" i="2"/>
  <c r="A13" i="2"/>
  <c r="D39" i="18"/>
  <c r="A12" i="2"/>
  <c r="A11" i="2"/>
  <c r="A10" i="2"/>
  <c r="A116" i="2"/>
  <c r="A117" i="2"/>
  <c r="A118" i="2"/>
  <c r="A119" i="2"/>
  <c r="I18" i="1"/>
  <c r="I18" i="20"/>
  <c r="I17" i="1"/>
  <c r="I17" i="20"/>
  <c r="I16" i="1"/>
  <c r="I16" i="20"/>
  <c r="I15" i="1"/>
  <c r="I15" i="20"/>
  <c r="G20" i="1"/>
  <c r="G20" i="20"/>
  <c r="G19" i="1"/>
  <c r="G19" i="20"/>
  <c r="G18" i="1"/>
  <c r="G18" i="20"/>
  <c r="G17" i="1"/>
  <c r="G17" i="20"/>
  <c r="G15" i="1"/>
  <c r="G15" i="20"/>
  <c r="K17" i="19"/>
  <c r="K16" i="19"/>
  <c r="K15" i="19"/>
  <c r="I21" i="19"/>
  <c r="I19" i="1"/>
  <c r="I19" i="20"/>
  <c r="I20" i="19"/>
  <c r="I20" i="1"/>
  <c r="I20" i="20"/>
  <c r="I19" i="19"/>
  <c r="J18" i="18"/>
  <c r="J18" i="17"/>
  <c r="J18" i="16"/>
  <c r="J18" i="15"/>
  <c r="J18" i="14"/>
  <c r="J18" i="13"/>
  <c r="AK99" i="1"/>
  <c r="D99" i="1"/>
  <c r="AK98" i="1"/>
  <c r="D98" i="1"/>
  <c r="AK97" i="1"/>
  <c r="D97" i="1"/>
  <c r="BC26" i="19"/>
  <c r="BC25" i="19"/>
  <c r="BC24" i="19"/>
  <c r="AK26" i="19"/>
  <c r="AK25" i="19"/>
  <c r="AK24" i="19"/>
  <c r="D25" i="19"/>
  <c r="D26" i="19"/>
  <c r="D24" i="19"/>
  <c r="D93" i="1"/>
  <c r="AF91" i="1"/>
  <c r="AT91" i="1"/>
  <c r="D91" i="1"/>
  <c r="D92" i="1"/>
  <c r="AF90" i="1"/>
  <c r="BH90" i="1"/>
  <c r="D90" i="1"/>
  <c r="A276" i="2"/>
  <c r="R88" i="1"/>
  <c r="A277" i="2"/>
  <c r="AF87" i="1"/>
  <c r="D87" i="1"/>
  <c r="AF85" i="1"/>
  <c r="D85" i="1"/>
  <c r="AF74" i="1"/>
  <c r="D74" i="1"/>
  <c r="AF78" i="1"/>
  <c r="D78" i="1"/>
  <c r="AT84" i="1"/>
  <c r="D84" i="1"/>
  <c r="AT82" i="1"/>
  <c r="D82" i="1"/>
  <c r="AT81" i="1"/>
  <c r="D81" i="1"/>
  <c r="AT80" i="1"/>
  <c r="D80" i="1"/>
  <c r="A262" i="2"/>
  <c r="D79" i="1"/>
  <c r="A263" i="2"/>
  <c r="F197" i="2"/>
  <c r="A247" i="2"/>
  <c r="F198" i="2"/>
  <c r="A248" i="2"/>
  <c r="A249" i="2"/>
  <c r="D77" i="1"/>
  <c r="BV77" i="1"/>
  <c r="BH76" i="1"/>
  <c r="AT76" i="1"/>
  <c r="D76" i="1"/>
  <c r="AT75" i="1"/>
  <c r="D75" i="1"/>
  <c r="AT73" i="1"/>
  <c r="D73" i="1"/>
  <c r="AT71" i="1"/>
  <c r="D71" i="1"/>
  <c r="AT72" i="1"/>
  <c r="D72" i="1"/>
  <c r="AT70" i="1"/>
  <c r="D70" i="1"/>
  <c r="E68" i="1"/>
  <c r="E39" i="20"/>
  <c r="E58" i="1"/>
  <c r="BH93" i="1"/>
  <c r="AT93" i="1"/>
  <c r="AF93" i="1"/>
  <c r="AF92" i="1"/>
  <c r="AT92" i="1"/>
  <c r="BH92" i="1"/>
  <c r="BV92" i="1"/>
  <c r="BH91" i="1"/>
  <c r="BV90" i="1"/>
  <c r="AT90" i="1"/>
  <c r="AT88" i="1"/>
  <c r="AF88" i="1"/>
  <c r="AT86" i="1"/>
  <c r="A271" i="2"/>
  <c r="A272" i="2"/>
  <c r="AF86" i="1"/>
  <c r="BH84" i="1"/>
  <c r="AF84" i="1"/>
  <c r="BH82" i="1"/>
  <c r="AF82" i="1"/>
  <c r="BH80" i="1"/>
  <c r="AF80" i="1"/>
  <c r="BV79" i="1"/>
  <c r="BH79" i="1"/>
  <c r="AT79" i="1"/>
  <c r="AF79" i="1"/>
  <c r="CX77" i="1"/>
  <c r="CJ77" i="1"/>
  <c r="BH77" i="1"/>
  <c r="AT77" i="1"/>
  <c r="AF77" i="1"/>
  <c r="AF76" i="1"/>
  <c r="BH75" i="1"/>
  <c r="AF75" i="1"/>
  <c r="BV73" i="1"/>
  <c r="BH73" i="1"/>
  <c r="BH72" i="1"/>
  <c r="BH71" i="1"/>
  <c r="AF73" i="1"/>
  <c r="AF72" i="1"/>
  <c r="AF71" i="1"/>
  <c r="BV70" i="1"/>
  <c r="BH70" i="1"/>
  <c r="AF70" i="1"/>
  <c r="AF68" i="1"/>
  <c r="AF63" i="1"/>
  <c r="D68" i="1"/>
  <c r="A164" i="2"/>
  <c r="A165" i="2"/>
  <c r="A161" i="2"/>
  <c r="A162" i="2"/>
  <c r="A157" i="2"/>
  <c r="A158" i="2"/>
  <c r="A159" i="2"/>
  <c r="BH81" i="1"/>
  <c r="AF81" i="1"/>
  <c r="E63" i="1"/>
  <c r="CJ63" i="1"/>
  <c r="BV63" i="1"/>
  <c r="BH63" i="1"/>
  <c r="AT63" i="1"/>
  <c r="D63" i="1"/>
  <c r="AF62" i="1"/>
  <c r="D62" i="1"/>
  <c r="AF61" i="1"/>
  <c r="D61" i="1"/>
  <c r="AT60" i="1"/>
  <c r="BV60" i="1"/>
  <c r="D60" i="1"/>
  <c r="BH60" i="1"/>
  <c r="AF60" i="1"/>
  <c r="AF59" i="1"/>
  <c r="D59" i="1"/>
  <c r="AF58" i="1"/>
  <c r="D58" i="1"/>
  <c r="AF57" i="1"/>
  <c r="D57" i="1"/>
  <c r="AF56" i="1"/>
  <c r="D56" i="1"/>
  <c r="CJ55" i="1"/>
  <c r="AT55" i="1"/>
  <c r="D55" i="1"/>
  <c r="BV55" i="1"/>
  <c r="BH55" i="1"/>
  <c r="AF55" i="1"/>
  <c r="BV53" i="1"/>
  <c r="BH53" i="1"/>
  <c r="AF53" i="1"/>
  <c r="AT53" i="1"/>
  <c r="D53" i="1"/>
  <c r="BV54" i="1"/>
  <c r="BH54" i="1"/>
  <c r="AF54" i="1"/>
  <c r="AT54" i="1"/>
  <c r="D54" i="1"/>
  <c r="BV49" i="1"/>
  <c r="AF52" i="1"/>
  <c r="D52" i="1"/>
  <c r="AF51" i="1"/>
  <c r="D51" i="1"/>
  <c r="BH50" i="1"/>
  <c r="AF50" i="1"/>
  <c r="AT50" i="1"/>
  <c r="D50" i="1"/>
  <c r="AF49" i="1"/>
  <c r="AT49" i="1"/>
  <c r="D49" i="1"/>
  <c r="AF48" i="1"/>
  <c r="BV48" i="1"/>
  <c r="AT48" i="1"/>
  <c r="D48" i="1"/>
  <c r="BH48" i="1"/>
  <c r="B48" i="1"/>
  <c r="E48" i="1"/>
  <c r="D217" i="2"/>
  <c r="D215" i="2"/>
  <c r="D214" i="2"/>
  <c r="A214" i="2"/>
  <c r="J48" i="1"/>
  <c r="L48" i="1"/>
  <c r="R48" i="1"/>
  <c r="Q48" i="1"/>
  <c r="G28" i="1"/>
  <c r="G26" i="1"/>
  <c r="G24" i="1"/>
  <c r="A210" i="2"/>
  <c r="A211" i="2"/>
  <c r="CX47" i="1"/>
  <c r="CJ47" i="1"/>
  <c r="BV47" i="1"/>
  <c r="BH47" i="1"/>
  <c r="AT47" i="1"/>
  <c r="AF47" i="1"/>
  <c r="B167" i="2"/>
  <c r="A167" i="2"/>
  <c r="E167" i="2"/>
  <c r="Q32" i="1"/>
  <c r="B168" i="2"/>
  <c r="A168" i="2"/>
  <c r="E168" i="2"/>
  <c r="AF46" i="1"/>
  <c r="D46" i="1"/>
  <c r="AF44" i="1"/>
  <c r="D44" i="1"/>
  <c r="BH43" i="1"/>
  <c r="AT43" i="1"/>
  <c r="D43" i="1"/>
  <c r="AF43" i="1"/>
  <c r="DL42" i="1"/>
  <c r="DZ42" i="1"/>
  <c r="BH42" i="1"/>
  <c r="CJ42" i="1"/>
  <c r="D42" i="1"/>
  <c r="CX42" i="1"/>
  <c r="BV42" i="1"/>
  <c r="AT42" i="1"/>
  <c r="AF42" i="1"/>
  <c r="BH41" i="1"/>
  <c r="BV41" i="1"/>
  <c r="AF41" i="1"/>
  <c r="D41" i="1"/>
  <c r="BH40" i="1"/>
  <c r="BV40" i="1"/>
  <c r="AF40" i="1"/>
  <c r="D40" i="1"/>
  <c r="AF39" i="1"/>
  <c r="D39" i="1"/>
  <c r="BV38" i="1"/>
  <c r="AF38" i="1"/>
  <c r="BH38" i="1"/>
  <c r="D38" i="1"/>
  <c r="AT41" i="1"/>
  <c r="AT40" i="1"/>
  <c r="AT38" i="1"/>
  <c r="AF36" i="1"/>
  <c r="D36" i="1"/>
  <c r="B183" i="2"/>
  <c r="A183" i="2"/>
  <c r="E183" i="2"/>
  <c r="B184" i="2"/>
  <c r="A184" i="2"/>
  <c r="E184" i="2"/>
  <c r="AT35" i="1"/>
  <c r="AF35" i="1"/>
  <c r="AT34" i="1"/>
  <c r="D34" i="1"/>
  <c r="AF34" i="1"/>
  <c r="B17" i="4"/>
  <c r="J58" i="1"/>
  <c r="J26" i="1"/>
  <c r="A258" i="2"/>
  <c r="J74" i="1"/>
  <c r="A255" i="2"/>
  <c r="J62" i="1"/>
  <c r="J78" i="1"/>
  <c r="F199" i="2"/>
  <c r="J27" i="1"/>
  <c r="F200" i="2"/>
  <c r="J28" i="1"/>
  <c r="J44" i="1"/>
  <c r="E29" i="18"/>
  <c r="E31" i="17"/>
  <c r="E30" i="16"/>
  <c r="E30" i="15"/>
  <c r="E28" i="14"/>
  <c r="E31" i="13"/>
  <c r="D222" i="2"/>
  <c r="J59" i="1"/>
  <c r="J96" i="1"/>
  <c r="B26" i="4"/>
  <c r="A154" i="2"/>
  <c r="D223" i="2"/>
  <c r="J56" i="1"/>
  <c r="F196" i="2"/>
  <c r="J24" i="1"/>
  <c r="J46" i="1"/>
  <c r="A155" i="2"/>
  <c r="D216" i="2"/>
  <c r="J37" i="1"/>
  <c r="J89" i="1"/>
  <c r="A252" i="2"/>
  <c r="J61" i="1"/>
  <c r="J25" i="1"/>
  <c r="M2" i="17"/>
  <c r="E64" i="13"/>
  <c r="K6" i="4"/>
  <c r="M2" i="16"/>
  <c r="K5" i="4"/>
  <c r="A151" i="2"/>
  <c r="A152" i="2"/>
  <c r="E94" i="1"/>
  <c r="E46" i="1"/>
  <c r="E24" i="17"/>
  <c r="E24" i="16"/>
  <c r="E24" i="15"/>
  <c r="E52" i="19"/>
  <c r="E54" i="18"/>
  <c r="E53" i="14"/>
  <c r="E56" i="17"/>
  <c r="E55" i="16"/>
  <c r="E34" i="19"/>
  <c r="E37" i="19"/>
  <c r="E57" i="18"/>
  <c r="E59" i="17"/>
  <c r="E58" i="16"/>
  <c r="E59" i="15"/>
  <c r="E56" i="14"/>
  <c r="E60" i="13"/>
  <c r="E38" i="19"/>
  <c r="E58" i="18"/>
  <c r="E60" i="17"/>
  <c r="E59" i="16"/>
  <c r="E60" i="15"/>
  <c r="E57" i="14"/>
  <c r="E61" i="13"/>
  <c r="E33" i="19"/>
  <c r="E25" i="18"/>
  <c r="E24" i="18"/>
  <c r="E31" i="20"/>
  <c r="E61" i="19"/>
  <c r="E62" i="19"/>
  <c r="E59" i="19"/>
  <c r="E60" i="19"/>
  <c r="E28" i="19"/>
  <c r="E32" i="20"/>
  <c r="E30" i="20"/>
  <c r="E33" i="20"/>
  <c r="E29" i="20"/>
  <c r="E37" i="1"/>
  <c r="E44" i="19"/>
  <c r="E66" i="1"/>
  <c r="E37" i="20"/>
  <c r="E67" i="1"/>
  <c r="E38" i="20"/>
  <c r="E26" i="18"/>
  <c r="E28" i="17"/>
  <c r="E27" i="16"/>
  <c r="E27" i="15"/>
  <c r="E25" i="14"/>
  <c r="E63" i="17"/>
  <c r="E62" i="16"/>
  <c r="E73" i="1"/>
  <c r="E49" i="1"/>
  <c r="E74" i="1"/>
  <c r="E35" i="19"/>
  <c r="E99" i="1"/>
  <c r="E26" i="19"/>
  <c r="E97" i="1"/>
  <c r="E24" i="19"/>
  <c r="E98" i="1"/>
  <c r="E25" i="19"/>
  <c r="E27" i="17"/>
  <c r="B21" i="4"/>
  <c r="B172" i="2"/>
  <c r="A172" i="2"/>
  <c r="E172" i="2"/>
  <c r="B173" i="2"/>
  <c r="A173" i="2"/>
  <c r="E173" i="2"/>
  <c r="B174" i="2"/>
  <c r="A174" i="2"/>
  <c r="E174" i="2"/>
  <c r="EN33" i="1"/>
  <c r="DZ33" i="1"/>
  <c r="DL33" i="1"/>
  <c r="CX33" i="1"/>
  <c r="CJ33" i="1"/>
  <c r="BV33" i="1"/>
  <c r="BH33" i="1"/>
  <c r="AT33" i="1"/>
  <c r="AF33" i="1"/>
  <c r="DZ32" i="1"/>
  <c r="DL32" i="1"/>
  <c r="CX32" i="1"/>
  <c r="CJ32" i="1"/>
  <c r="BV32" i="1"/>
  <c r="BH32" i="1"/>
  <c r="AT32" i="1"/>
  <c r="AF32" i="1"/>
  <c r="D39" i="20"/>
  <c r="D37" i="20"/>
  <c r="D34" i="20"/>
  <c r="D33" i="20"/>
  <c r="D29" i="20"/>
  <c r="AF30" i="20"/>
  <c r="AS30" i="20"/>
  <c r="AS32" i="20"/>
  <c r="AF32" i="20"/>
  <c r="D28" i="20"/>
  <c r="D27" i="20"/>
  <c r="AF24" i="20"/>
  <c r="AS24" i="20"/>
  <c r="A148" i="2"/>
  <c r="A149" i="2"/>
  <c r="D24" i="20"/>
  <c r="A144" i="2"/>
  <c r="A145" i="2"/>
  <c r="A146" i="2"/>
  <c r="BU39" i="19"/>
  <c r="BC39" i="19"/>
  <c r="AK39" i="19"/>
  <c r="D33" i="19"/>
  <c r="D60" i="19"/>
  <c r="D59" i="19"/>
  <c r="D58" i="19"/>
  <c r="D57" i="19"/>
  <c r="D56" i="19"/>
  <c r="D55" i="19"/>
  <c r="D54" i="19"/>
  <c r="D53" i="19"/>
  <c r="D50" i="19"/>
  <c r="D49" i="19"/>
  <c r="D48" i="19"/>
  <c r="D47" i="19"/>
  <c r="D46" i="19"/>
  <c r="D45" i="19"/>
  <c r="D44" i="19"/>
  <c r="D43" i="19"/>
  <c r="D42" i="19"/>
  <c r="D41" i="19"/>
  <c r="D38" i="19"/>
  <c r="D37" i="19"/>
  <c r="D34" i="19"/>
  <c r="A2" i="2"/>
  <c r="A3" i="2"/>
  <c r="A4" i="2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8" i="18"/>
  <c r="D57" i="18"/>
  <c r="D56" i="18"/>
  <c r="D55" i="18"/>
  <c r="D54" i="18"/>
  <c r="FC44" i="18"/>
  <c r="EI44" i="18"/>
  <c r="DO44" i="18"/>
  <c r="CU44" i="18"/>
  <c r="CA44" i="18"/>
  <c r="BG44" i="18"/>
  <c r="AM44" i="18"/>
  <c r="PW43" i="18"/>
  <c r="PC43" i="18"/>
  <c r="OI43" i="18"/>
  <c r="NO43" i="18"/>
  <c r="MU43" i="18"/>
  <c r="MA43" i="18"/>
  <c r="LG43" i="18"/>
  <c r="KM43" i="18"/>
  <c r="JS43" i="18"/>
  <c r="IY43" i="18"/>
  <c r="IE43" i="18"/>
  <c r="HK43" i="18"/>
  <c r="GQ43" i="18"/>
  <c r="FW43" i="18"/>
  <c r="FC43" i="18"/>
  <c r="EI43" i="18"/>
  <c r="DO43" i="18"/>
  <c r="CU43" i="18"/>
  <c r="CA43" i="18"/>
  <c r="BG43" i="18"/>
  <c r="AM43" i="18"/>
  <c r="D53" i="18"/>
  <c r="D50" i="18"/>
  <c r="D49" i="18"/>
  <c r="D48" i="18"/>
  <c r="D47" i="18"/>
  <c r="D46" i="18"/>
  <c r="D45" i="18"/>
  <c r="D41" i="18"/>
  <c r="D38" i="18"/>
  <c r="D37" i="18"/>
  <c r="D36" i="18"/>
  <c r="D35" i="18"/>
  <c r="D34" i="18"/>
  <c r="D33" i="18"/>
  <c r="D32" i="18"/>
  <c r="D29" i="18"/>
  <c r="D25" i="18"/>
  <c r="D24" i="18"/>
  <c r="D38" i="13"/>
  <c r="D46" i="17"/>
  <c r="D45" i="17"/>
  <c r="D63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2" i="17"/>
  <c r="D61" i="16"/>
  <c r="D60" i="17"/>
  <c r="D59" i="17"/>
  <c r="D58" i="17"/>
  <c r="D57" i="17"/>
  <c r="D56" i="17"/>
  <c r="D55" i="17"/>
  <c r="D52" i="17"/>
  <c r="D51" i="17"/>
  <c r="D50" i="17"/>
  <c r="D49" i="17"/>
  <c r="D48" i="17"/>
  <c r="D47" i="17"/>
  <c r="D43" i="17"/>
  <c r="D40" i="17"/>
  <c r="D39" i="17"/>
  <c r="D38" i="17"/>
  <c r="D37" i="17"/>
  <c r="D36" i="17"/>
  <c r="D35" i="17"/>
  <c r="D34" i="17"/>
  <c r="FC46" i="17"/>
  <c r="EI46" i="17"/>
  <c r="DO46" i="17"/>
  <c r="CU46" i="17"/>
  <c r="CA46" i="17"/>
  <c r="BG46" i="17"/>
  <c r="AM46" i="17"/>
  <c r="PW45" i="17"/>
  <c r="PC45" i="17"/>
  <c r="OI45" i="17"/>
  <c r="NO45" i="17"/>
  <c r="MU45" i="17"/>
  <c r="MA45" i="17"/>
  <c r="LG45" i="17"/>
  <c r="KM45" i="17"/>
  <c r="JS45" i="17"/>
  <c r="IY45" i="17"/>
  <c r="IE45" i="17"/>
  <c r="HK45" i="17"/>
  <c r="GQ45" i="17"/>
  <c r="FW45" i="17"/>
  <c r="FC45" i="17"/>
  <c r="EI45" i="17"/>
  <c r="DO45" i="17"/>
  <c r="CU45" i="17"/>
  <c r="CA45" i="17"/>
  <c r="BG45" i="17"/>
  <c r="AM45" i="17"/>
  <c r="D31" i="17"/>
  <c r="D26" i="17"/>
  <c r="D25" i="17"/>
  <c r="D24" i="17"/>
  <c r="D26" i="16"/>
  <c r="D25" i="16"/>
  <c r="D24" i="16"/>
  <c r="K98" i="13"/>
  <c r="A98" i="13"/>
  <c r="K92" i="14"/>
  <c r="A92" i="14"/>
  <c r="K95" i="15"/>
  <c r="A95" i="15"/>
  <c r="K94" i="16"/>
  <c r="A94" i="16"/>
  <c r="K95" i="17"/>
  <c r="A95" i="17"/>
  <c r="K93" i="18"/>
  <c r="A93" i="18"/>
  <c r="K77" i="19"/>
  <c r="A77" i="19"/>
  <c r="K52" i="20"/>
  <c r="A52" i="20"/>
  <c r="D62" i="16"/>
  <c r="D62" i="15"/>
  <c r="D59" i="14"/>
  <c r="D59" i="16"/>
  <c r="D58" i="16"/>
  <c r="D57" i="16"/>
  <c r="D56" i="16"/>
  <c r="D55" i="16"/>
  <c r="D54" i="16"/>
  <c r="D51" i="16"/>
  <c r="D50" i="16"/>
  <c r="D49" i="16"/>
  <c r="D48" i="16"/>
  <c r="D47" i="16"/>
  <c r="D46" i="16"/>
  <c r="D45" i="16"/>
  <c r="D44" i="16"/>
  <c r="FC45" i="16"/>
  <c r="EI45" i="16"/>
  <c r="DO45" i="16"/>
  <c r="CU45" i="16"/>
  <c r="CA45" i="16"/>
  <c r="BG45" i="16"/>
  <c r="AM45" i="16"/>
  <c r="PW44" i="16"/>
  <c r="PC44" i="16"/>
  <c r="OI44" i="16"/>
  <c r="NO44" i="16"/>
  <c r="MU44" i="16"/>
  <c r="MA44" i="16"/>
  <c r="LG44" i="16"/>
  <c r="KM44" i="16"/>
  <c r="JS44" i="16"/>
  <c r="IY44" i="16"/>
  <c r="IE44" i="16"/>
  <c r="HK44" i="16"/>
  <c r="GQ44" i="16"/>
  <c r="FW44" i="16"/>
  <c r="FC44" i="16"/>
  <c r="EI44" i="16"/>
  <c r="DO44" i="16"/>
  <c r="CU44" i="16"/>
  <c r="CA44" i="16"/>
  <c r="BG44" i="16"/>
  <c r="AM44" i="16"/>
  <c r="D42" i="16"/>
  <c r="D39" i="16"/>
  <c r="D38" i="16"/>
  <c r="D37" i="16"/>
  <c r="D36" i="16"/>
  <c r="D35" i="16"/>
  <c r="D34" i="16"/>
  <c r="D33" i="16"/>
  <c r="D30" i="16"/>
  <c r="D60" i="14"/>
  <c r="D60" i="15"/>
  <c r="D59" i="15"/>
  <c r="D58" i="15"/>
  <c r="D57" i="15"/>
  <c r="D56" i="15"/>
  <c r="D55" i="15"/>
  <c r="D52" i="15"/>
  <c r="D51" i="15"/>
  <c r="D50" i="15"/>
  <c r="D49" i="15"/>
  <c r="D48" i="15"/>
  <c r="D47" i="15"/>
  <c r="D46" i="15"/>
  <c r="D43" i="14"/>
  <c r="D45" i="15"/>
  <c r="FC46" i="15"/>
  <c r="EI46" i="15"/>
  <c r="DO46" i="15"/>
  <c r="CU46" i="15"/>
  <c r="CA46" i="15"/>
  <c r="BG46" i="15"/>
  <c r="AM46" i="15"/>
  <c r="PW45" i="15"/>
  <c r="PC45" i="15"/>
  <c r="OI45" i="15"/>
  <c r="NO45" i="15"/>
  <c r="MU45" i="15"/>
  <c r="MA45" i="15"/>
  <c r="LG45" i="15"/>
  <c r="KM45" i="15"/>
  <c r="JS45" i="15"/>
  <c r="IY45" i="15"/>
  <c r="IE45" i="15"/>
  <c r="HK45" i="15"/>
  <c r="GQ45" i="15"/>
  <c r="FW45" i="15"/>
  <c r="FC45" i="15"/>
  <c r="EI45" i="15"/>
  <c r="DO45" i="15"/>
  <c r="CU45" i="15"/>
  <c r="CA45" i="15"/>
  <c r="BG45" i="15"/>
  <c r="AM45" i="15"/>
  <c r="D43" i="15"/>
  <c r="D39" i="15"/>
  <c r="D38" i="15"/>
  <c r="D37" i="15"/>
  <c r="D36" i="15"/>
  <c r="D35" i="15"/>
  <c r="D34" i="15"/>
  <c r="D33" i="15"/>
  <c r="D25" i="15"/>
  <c r="D24" i="15"/>
  <c r="D42" i="15"/>
  <c r="D30" i="15"/>
  <c r="D76" i="14"/>
  <c r="D80" i="13"/>
  <c r="D53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57" i="14"/>
  <c r="D56" i="14"/>
  <c r="D55" i="14"/>
  <c r="D54" i="14"/>
  <c r="D52" i="14"/>
  <c r="D49" i="14"/>
  <c r="D48" i="14"/>
  <c r="D47" i="14"/>
  <c r="D46" i="14"/>
  <c r="D45" i="14"/>
  <c r="D44" i="14"/>
  <c r="D42" i="14"/>
  <c r="FC43" i="14"/>
  <c r="EI43" i="14"/>
  <c r="DO43" i="14"/>
  <c r="CU43" i="14"/>
  <c r="CA43" i="14"/>
  <c r="BG43" i="14"/>
  <c r="AM43" i="14"/>
  <c r="PW42" i="14"/>
  <c r="PC42" i="14"/>
  <c r="OI42" i="14"/>
  <c r="NO42" i="14"/>
  <c r="MU42" i="14"/>
  <c r="MA42" i="14"/>
  <c r="LG42" i="14"/>
  <c r="KM42" i="14"/>
  <c r="JS42" i="14"/>
  <c r="IY42" i="14"/>
  <c r="IE42" i="14"/>
  <c r="HK42" i="14"/>
  <c r="GQ42" i="14"/>
  <c r="FW42" i="14"/>
  <c r="FC42" i="14"/>
  <c r="EI42" i="14"/>
  <c r="DO42" i="14"/>
  <c r="CU42" i="14"/>
  <c r="CA42" i="14"/>
  <c r="BG42" i="14"/>
  <c r="AM42" i="14"/>
  <c r="D40" i="14"/>
  <c r="D37" i="14"/>
  <c r="D36" i="14"/>
  <c r="D35" i="14"/>
  <c r="D34" i="14"/>
  <c r="D33" i="14"/>
  <c r="D32" i="14"/>
  <c r="D31" i="14"/>
  <c r="D28" i="14"/>
  <c r="D24" i="14"/>
  <c r="D24" i="13"/>
  <c r="C23" i="14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3" i="13"/>
  <c r="D64" i="13"/>
  <c r="D61" i="13"/>
  <c r="D60" i="13"/>
  <c r="D59" i="13"/>
  <c r="D58" i="13"/>
  <c r="D57" i="13"/>
  <c r="D56" i="13"/>
  <c r="D53" i="13"/>
  <c r="D52" i="13"/>
  <c r="D51" i="13"/>
  <c r="D50" i="13"/>
  <c r="D49" i="13"/>
  <c r="D48" i="13"/>
  <c r="D47" i="13"/>
  <c r="FC47" i="13"/>
  <c r="EI47" i="13"/>
  <c r="DO47" i="13"/>
  <c r="CU47" i="13"/>
  <c r="CA47" i="13"/>
  <c r="BG47" i="13"/>
  <c r="AM47" i="13"/>
  <c r="PW46" i="13"/>
  <c r="PC46" i="13"/>
  <c r="OI46" i="13"/>
  <c r="NO46" i="13"/>
  <c r="MU46" i="13"/>
  <c r="MA46" i="13"/>
  <c r="LG46" i="13"/>
  <c r="KM46" i="13"/>
  <c r="JS46" i="13"/>
  <c r="IY46" i="13"/>
  <c r="IE46" i="13"/>
  <c r="HK46" i="13"/>
  <c r="GQ46" i="13"/>
  <c r="FW46" i="13"/>
  <c r="FC46" i="13"/>
  <c r="EI46" i="13"/>
  <c r="DO46" i="13"/>
  <c r="CU46" i="13"/>
  <c r="CA46" i="13"/>
  <c r="BG46" i="13"/>
  <c r="AM46" i="13"/>
  <c r="D46" i="13"/>
  <c r="D43" i="13"/>
  <c r="D44" i="13"/>
  <c r="D31" i="13"/>
  <c r="D40" i="13"/>
  <c r="D39" i="13"/>
  <c r="D37" i="13"/>
  <c r="D36" i="13"/>
  <c r="D35" i="13"/>
  <c r="D34" i="13"/>
  <c r="E23" i="13"/>
  <c r="L23" i="13"/>
  <c r="M23" i="13"/>
  <c r="K10" i="4"/>
  <c r="K9" i="4"/>
  <c r="K8" i="4"/>
  <c r="K7" i="4"/>
  <c r="K4" i="4"/>
  <c r="K3" i="4"/>
  <c r="K2" i="4"/>
  <c r="L59" i="4"/>
  <c r="B59" i="4"/>
  <c r="E200" i="2"/>
  <c r="E199" i="2"/>
  <c r="E198" i="2"/>
  <c r="E197" i="2"/>
  <c r="E196" i="2"/>
  <c r="O52" i="20"/>
  <c r="C45" i="20"/>
  <c r="Q40" i="20"/>
  <c r="E40" i="20"/>
  <c r="B40" i="20"/>
  <c r="Q39" i="20"/>
  <c r="B39" i="20"/>
  <c r="I38" i="20"/>
  <c r="B38" i="20"/>
  <c r="I37" i="20"/>
  <c r="B37" i="20"/>
  <c r="Q36" i="20"/>
  <c r="E36" i="20"/>
  <c r="B36" i="20"/>
  <c r="Q35" i="20"/>
  <c r="I35" i="20"/>
  <c r="B35" i="20"/>
  <c r="Q34" i="20"/>
  <c r="E34" i="20"/>
  <c r="B34" i="20"/>
  <c r="Q33" i="20"/>
  <c r="B33" i="20"/>
  <c r="Q32" i="20"/>
  <c r="H32" i="20"/>
  <c r="B32" i="20"/>
  <c r="Q31" i="20"/>
  <c r="B31" i="20"/>
  <c r="Q30" i="20"/>
  <c r="H30" i="20"/>
  <c r="B30" i="20"/>
  <c r="Q29" i="20"/>
  <c r="B29" i="20"/>
  <c r="Q28" i="20"/>
  <c r="E28" i="20"/>
  <c r="B28" i="20"/>
  <c r="Q27" i="20"/>
  <c r="E27" i="20"/>
  <c r="B27" i="20"/>
  <c r="Q26" i="20"/>
  <c r="E26" i="20"/>
  <c r="B26" i="20"/>
  <c r="Q25" i="20"/>
  <c r="E25" i="20"/>
  <c r="B25" i="20"/>
  <c r="H24" i="20"/>
  <c r="E24" i="20"/>
  <c r="B24" i="20"/>
  <c r="M23" i="20"/>
  <c r="L23" i="20"/>
  <c r="E23" i="20"/>
  <c r="C23" i="20"/>
  <c r="B23" i="20"/>
  <c r="A23" i="20"/>
  <c r="A22" i="20"/>
  <c r="B20" i="20"/>
  <c r="B19" i="20"/>
  <c r="B18" i="20"/>
  <c r="B17" i="20"/>
  <c r="A16" i="20"/>
  <c r="G14" i="20"/>
  <c r="B14" i="20"/>
  <c r="B13" i="20"/>
  <c r="G12" i="20"/>
  <c r="B12" i="20"/>
  <c r="B10" i="20"/>
  <c r="B9" i="20"/>
  <c r="L8" i="20"/>
  <c r="G8" i="20"/>
  <c r="B8" i="20"/>
  <c r="A7" i="20"/>
  <c r="J6" i="20"/>
  <c r="J5" i="20"/>
  <c r="J4" i="20"/>
  <c r="M2" i="20"/>
  <c r="M1" i="20"/>
  <c r="O77" i="19"/>
  <c r="C70" i="19"/>
  <c r="Q68" i="19"/>
  <c r="Q67" i="19"/>
  <c r="Q66" i="19"/>
  <c r="R65" i="19"/>
  <c r="E65" i="19"/>
  <c r="E64" i="19"/>
  <c r="E63" i="19"/>
  <c r="Q62" i="19"/>
  <c r="Q61" i="19"/>
  <c r="Q60" i="19"/>
  <c r="Q59" i="19"/>
  <c r="Q58" i="19"/>
  <c r="E58" i="19"/>
  <c r="Q57" i="19"/>
  <c r="E57" i="19"/>
  <c r="Q56" i="19"/>
  <c r="E56" i="19"/>
  <c r="Q55" i="19"/>
  <c r="E55" i="19"/>
  <c r="Q54" i="19"/>
  <c r="E54" i="19"/>
  <c r="Q53" i="19"/>
  <c r="E53" i="19"/>
  <c r="Q52" i="19"/>
  <c r="Q51" i="19"/>
  <c r="E51" i="19"/>
  <c r="Q50" i="19"/>
  <c r="E50" i="19"/>
  <c r="Q49" i="19"/>
  <c r="E49" i="19"/>
  <c r="Q48" i="19"/>
  <c r="E48" i="19"/>
  <c r="Q47" i="19"/>
  <c r="E47" i="19"/>
  <c r="Q46" i="19"/>
  <c r="E46" i="19"/>
  <c r="Q45" i="19"/>
  <c r="E45" i="19"/>
  <c r="Q44" i="19"/>
  <c r="Q43" i="19"/>
  <c r="E43" i="19"/>
  <c r="Q42" i="19"/>
  <c r="E42" i="19"/>
  <c r="Q41" i="19"/>
  <c r="E41" i="19"/>
  <c r="Q40" i="19"/>
  <c r="E40" i="19"/>
  <c r="Q39" i="19"/>
  <c r="E39" i="19"/>
  <c r="Q38" i="19"/>
  <c r="Q37" i="19"/>
  <c r="Q36" i="19"/>
  <c r="E36" i="19"/>
  <c r="Q35" i="19"/>
  <c r="Q34" i="19"/>
  <c r="Q33" i="19"/>
  <c r="E32" i="19"/>
  <c r="Q31" i="19"/>
  <c r="E31" i="19"/>
  <c r="Q30" i="19"/>
  <c r="E30" i="19"/>
  <c r="Q29" i="19"/>
  <c r="Q28" i="19"/>
  <c r="Q27" i="19"/>
  <c r="E27" i="19"/>
  <c r="M23" i="19"/>
  <c r="L23" i="19"/>
  <c r="E23" i="19"/>
  <c r="C23" i="19"/>
  <c r="B23" i="19"/>
  <c r="A23" i="19"/>
  <c r="A22" i="19"/>
  <c r="B20" i="19"/>
  <c r="B19" i="19"/>
  <c r="B18" i="19"/>
  <c r="B17" i="19"/>
  <c r="A16" i="19"/>
  <c r="G14" i="19"/>
  <c r="B14" i="19"/>
  <c r="B13" i="19"/>
  <c r="G12" i="19"/>
  <c r="B12" i="19"/>
  <c r="B10" i="19"/>
  <c r="B9" i="19"/>
  <c r="L8" i="19"/>
  <c r="G8" i="19"/>
  <c r="B8" i="19"/>
  <c r="A7" i="19"/>
  <c r="J6" i="19"/>
  <c r="J5" i="19"/>
  <c r="J4" i="19"/>
  <c r="M2" i="19"/>
  <c r="M1" i="19"/>
  <c r="O93" i="18"/>
  <c r="C86" i="18"/>
  <c r="Q84" i="18"/>
  <c r="Q83" i="18"/>
  <c r="Q82" i="18"/>
  <c r="J81" i="18"/>
  <c r="H81" i="18"/>
  <c r="E81" i="18"/>
  <c r="B81" i="18"/>
  <c r="E80" i="18"/>
  <c r="B80" i="18"/>
  <c r="Q79" i="18"/>
  <c r="E79" i="18"/>
  <c r="B79" i="18"/>
  <c r="E78" i="18"/>
  <c r="Q77" i="18"/>
  <c r="E77" i="18"/>
  <c r="B77" i="18"/>
  <c r="Q76" i="18"/>
  <c r="E76" i="18"/>
  <c r="B76" i="18"/>
  <c r="Q75" i="18"/>
  <c r="E75" i="18"/>
  <c r="B75" i="18"/>
  <c r="Q74" i="18"/>
  <c r="E74" i="18"/>
  <c r="B74" i="18"/>
  <c r="Q73" i="18"/>
  <c r="E73" i="18"/>
  <c r="B73" i="18"/>
  <c r="Q72" i="18"/>
  <c r="E72" i="18"/>
  <c r="B72" i="18"/>
  <c r="Q71" i="18"/>
  <c r="E71" i="18"/>
  <c r="B71" i="18"/>
  <c r="Q70" i="18"/>
  <c r="E70" i="18"/>
  <c r="B70" i="18"/>
  <c r="Q69" i="18"/>
  <c r="E69" i="18"/>
  <c r="B69" i="18"/>
  <c r="Q68" i="18"/>
  <c r="E68" i="18"/>
  <c r="B68" i="18"/>
  <c r="Q67" i="18"/>
  <c r="E67" i="18"/>
  <c r="B67" i="18"/>
  <c r="Q66" i="18"/>
  <c r="E66" i="18"/>
  <c r="B66" i="18"/>
  <c r="E65" i="18"/>
  <c r="B65" i="18"/>
  <c r="Q64" i="18"/>
  <c r="E64" i="18"/>
  <c r="B64" i="18"/>
  <c r="Q63" i="18"/>
  <c r="E63" i="18"/>
  <c r="B63" i="18"/>
  <c r="Q62" i="18"/>
  <c r="E62" i="18"/>
  <c r="B62" i="18"/>
  <c r="Q61" i="18"/>
  <c r="E61" i="18"/>
  <c r="B61" i="18"/>
  <c r="Q60" i="18"/>
  <c r="B60" i="18"/>
  <c r="Q59" i="18"/>
  <c r="E59" i="18"/>
  <c r="B59" i="18"/>
  <c r="Q58" i="18"/>
  <c r="B58" i="18"/>
  <c r="Q57" i="18"/>
  <c r="B57" i="18"/>
  <c r="Q56" i="18"/>
  <c r="E56" i="18"/>
  <c r="B56" i="18"/>
  <c r="Q55" i="18"/>
  <c r="E55" i="18"/>
  <c r="B55" i="18"/>
  <c r="Q54" i="18"/>
  <c r="B54" i="18"/>
  <c r="Q53" i="18"/>
  <c r="E53" i="18"/>
  <c r="B53" i="18"/>
  <c r="Q52" i="18"/>
  <c r="E52" i="18"/>
  <c r="B52" i="18"/>
  <c r="Q51" i="18"/>
  <c r="E51" i="18"/>
  <c r="B51" i="18"/>
  <c r="Q50" i="18"/>
  <c r="E50" i="18"/>
  <c r="B50" i="18"/>
  <c r="Q49" i="18"/>
  <c r="E49" i="18"/>
  <c r="B49" i="18"/>
  <c r="Q48" i="18"/>
  <c r="E48" i="18"/>
  <c r="B48" i="18"/>
  <c r="Q47" i="18"/>
  <c r="E47" i="18"/>
  <c r="B47" i="18"/>
  <c r="Q46" i="18"/>
  <c r="E46" i="18"/>
  <c r="B46" i="18"/>
  <c r="Q45" i="18"/>
  <c r="E45" i="18"/>
  <c r="B45" i="18"/>
  <c r="Q44" i="18"/>
  <c r="I44" i="18"/>
  <c r="E44" i="18"/>
  <c r="B44" i="18"/>
  <c r="Q43" i="18"/>
  <c r="I43" i="18"/>
  <c r="E43" i="18"/>
  <c r="B43" i="18"/>
  <c r="Q42" i="18"/>
  <c r="E42" i="18"/>
  <c r="B42" i="18"/>
  <c r="Q41" i="18"/>
  <c r="E41" i="18"/>
  <c r="B41" i="18"/>
  <c r="Q40" i="18"/>
  <c r="E40" i="18"/>
  <c r="B40" i="18"/>
  <c r="Q39" i="18"/>
  <c r="E39" i="18"/>
  <c r="B39" i="18"/>
  <c r="Q38" i="18"/>
  <c r="E38" i="18"/>
  <c r="B38" i="18"/>
  <c r="Q37" i="18"/>
  <c r="E37" i="18"/>
  <c r="B37" i="18"/>
  <c r="Q36" i="18"/>
  <c r="E36" i="18"/>
  <c r="B36" i="18"/>
  <c r="Q35" i="18"/>
  <c r="E35" i="18"/>
  <c r="B35" i="18"/>
  <c r="Q34" i="18"/>
  <c r="E34" i="18"/>
  <c r="B34" i="18"/>
  <c r="E33" i="18"/>
  <c r="B33" i="18"/>
  <c r="Q32" i="18"/>
  <c r="E32" i="18"/>
  <c r="B32" i="18"/>
  <c r="Q31" i="18"/>
  <c r="E31" i="18"/>
  <c r="B31" i="18"/>
  <c r="Q30" i="18"/>
  <c r="E30" i="18"/>
  <c r="B30" i="18"/>
  <c r="Q29" i="18"/>
  <c r="B29" i="18"/>
  <c r="E28" i="18"/>
  <c r="B28" i="18"/>
  <c r="E27" i="18"/>
  <c r="B27" i="18"/>
  <c r="B26" i="18"/>
  <c r="B25" i="18"/>
  <c r="B24" i="18"/>
  <c r="M23" i="18"/>
  <c r="L23" i="18"/>
  <c r="E23" i="18"/>
  <c r="C23" i="18"/>
  <c r="B23" i="18"/>
  <c r="A23" i="18"/>
  <c r="A22" i="18"/>
  <c r="B20" i="18"/>
  <c r="B19" i="18"/>
  <c r="B18" i="18"/>
  <c r="B17" i="18"/>
  <c r="A16" i="18"/>
  <c r="G14" i="18"/>
  <c r="B14" i="18"/>
  <c r="B13" i="18"/>
  <c r="G12" i="18"/>
  <c r="B12" i="18"/>
  <c r="B10" i="18"/>
  <c r="B9" i="18"/>
  <c r="L8" i="18"/>
  <c r="G8" i="18"/>
  <c r="B8" i="18"/>
  <c r="A7" i="18"/>
  <c r="J6" i="18"/>
  <c r="J5" i="18"/>
  <c r="J4" i="18"/>
  <c r="M2" i="18"/>
  <c r="M1" i="18"/>
  <c r="O95" i="17"/>
  <c r="C88" i="17"/>
  <c r="Q86" i="17"/>
  <c r="Q85" i="17"/>
  <c r="Q84" i="17"/>
  <c r="J83" i="17"/>
  <c r="H83" i="17"/>
  <c r="E83" i="17"/>
  <c r="B83" i="17"/>
  <c r="E82" i="17"/>
  <c r="B82" i="17"/>
  <c r="Q81" i="17"/>
  <c r="E81" i="17"/>
  <c r="B81" i="17"/>
  <c r="E80" i="17"/>
  <c r="Q79" i="17"/>
  <c r="E79" i="17"/>
  <c r="B79" i="17"/>
  <c r="Q78" i="17"/>
  <c r="E78" i="17"/>
  <c r="B78" i="17"/>
  <c r="Q77" i="17"/>
  <c r="E77" i="17"/>
  <c r="B77" i="17"/>
  <c r="Q76" i="17"/>
  <c r="E76" i="17"/>
  <c r="B76" i="17"/>
  <c r="Q75" i="17"/>
  <c r="E75" i="17"/>
  <c r="B75" i="17"/>
  <c r="Q74" i="17"/>
  <c r="E74" i="17"/>
  <c r="B74" i="17"/>
  <c r="Q73" i="17"/>
  <c r="E73" i="17"/>
  <c r="B73" i="17"/>
  <c r="Q72" i="17"/>
  <c r="E72" i="17"/>
  <c r="B72" i="17"/>
  <c r="Q71" i="17"/>
  <c r="E71" i="17"/>
  <c r="B71" i="17"/>
  <c r="Q70" i="17"/>
  <c r="E70" i="17"/>
  <c r="B70" i="17"/>
  <c r="Q69" i="17"/>
  <c r="E69" i="17"/>
  <c r="B69" i="17"/>
  <c r="Q68" i="17"/>
  <c r="E68" i="17"/>
  <c r="B68" i="17"/>
  <c r="E67" i="17"/>
  <c r="B67" i="17"/>
  <c r="Q66" i="17"/>
  <c r="E66" i="17"/>
  <c r="B66" i="17"/>
  <c r="Q65" i="17"/>
  <c r="E65" i="17"/>
  <c r="B65" i="17"/>
  <c r="Q64" i="17"/>
  <c r="E64" i="17"/>
  <c r="B64" i="17"/>
  <c r="Q63" i="17"/>
  <c r="B63" i="17"/>
  <c r="Q62" i="17"/>
  <c r="B62" i="17"/>
  <c r="Q61" i="17"/>
  <c r="E61" i="17"/>
  <c r="B61" i="17"/>
  <c r="Q60" i="17"/>
  <c r="B60" i="17"/>
  <c r="Q59" i="17"/>
  <c r="B59" i="17"/>
  <c r="Q58" i="17"/>
  <c r="E58" i="17"/>
  <c r="B58" i="17"/>
  <c r="Q57" i="17"/>
  <c r="E57" i="17"/>
  <c r="B57" i="17"/>
  <c r="Q56" i="17"/>
  <c r="B56" i="17"/>
  <c r="Q55" i="17"/>
  <c r="E55" i="17"/>
  <c r="B55" i="17"/>
  <c r="Q54" i="17"/>
  <c r="E54" i="17"/>
  <c r="B54" i="17"/>
  <c r="Q53" i="17"/>
  <c r="E53" i="17"/>
  <c r="B53" i="17"/>
  <c r="Q52" i="17"/>
  <c r="E52" i="17"/>
  <c r="B52" i="17"/>
  <c r="Q51" i="17"/>
  <c r="E51" i="17"/>
  <c r="B51" i="17"/>
  <c r="Q50" i="17"/>
  <c r="E50" i="17"/>
  <c r="B50" i="17"/>
  <c r="Q49" i="17"/>
  <c r="E49" i="17"/>
  <c r="B49" i="17"/>
  <c r="Q48" i="17"/>
  <c r="E48" i="17"/>
  <c r="B48" i="17"/>
  <c r="Q47" i="17"/>
  <c r="E47" i="17"/>
  <c r="B47" i="17"/>
  <c r="Q46" i="17"/>
  <c r="I46" i="17"/>
  <c r="E46" i="17"/>
  <c r="B46" i="17"/>
  <c r="Q45" i="17"/>
  <c r="I45" i="17"/>
  <c r="E45" i="17"/>
  <c r="B45" i="17"/>
  <c r="Q44" i="17"/>
  <c r="E44" i="17"/>
  <c r="B44" i="17"/>
  <c r="Q43" i="17"/>
  <c r="E43" i="17"/>
  <c r="B43" i="17"/>
  <c r="Q42" i="17"/>
  <c r="E42" i="17"/>
  <c r="B42" i="17"/>
  <c r="Q41" i="17"/>
  <c r="E41" i="17"/>
  <c r="B41" i="17"/>
  <c r="Q40" i="17"/>
  <c r="E40" i="17"/>
  <c r="B40" i="17"/>
  <c r="Q39" i="17"/>
  <c r="E39" i="17"/>
  <c r="B39" i="17"/>
  <c r="Q38" i="17"/>
  <c r="E38" i="17"/>
  <c r="B38" i="17"/>
  <c r="Q37" i="17"/>
  <c r="E37" i="17"/>
  <c r="B37" i="17"/>
  <c r="Q36" i="17"/>
  <c r="E36" i="17"/>
  <c r="B36" i="17"/>
  <c r="E35" i="17"/>
  <c r="B35" i="17"/>
  <c r="Q34" i="17"/>
  <c r="E34" i="17"/>
  <c r="B34" i="17"/>
  <c r="Q33" i="17"/>
  <c r="E33" i="17"/>
  <c r="B33" i="17"/>
  <c r="Q32" i="17"/>
  <c r="E32" i="17"/>
  <c r="B32" i="17"/>
  <c r="Q31" i="17"/>
  <c r="B31" i="17"/>
  <c r="E30" i="17"/>
  <c r="B30" i="17"/>
  <c r="E29" i="17"/>
  <c r="B29" i="17"/>
  <c r="B28" i="17"/>
  <c r="Q27" i="17"/>
  <c r="B27" i="17"/>
  <c r="E26" i="17"/>
  <c r="B26" i="17"/>
  <c r="E25" i="17"/>
  <c r="B25" i="17"/>
  <c r="B24" i="17"/>
  <c r="M23" i="17"/>
  <c r="L23" i="17"/>
  <c r="E23" i="17"/>
  <c r="C23" i="17"/>
  <c r="B23" i="17"/>
  <c r="A23" i="17"/>
  <c r="A22" i="17"/>
  <c r="B20" i="17"/>
  <c r="B19" i="17"/>
  <c r="B18" i="17"/>
  <c r="B17" i="17"/>
  <c r="A16" i="17"/>
  <c r="G14" i="17"/>
  <c r="B14" i="17"/>
  <c r="B13" i="17"/>
  <c r="G12" i="17"/>
  <c r="B12" i="17"/>
  <c r="B10" i="17"/>
  <c r="B9" i="17"/>
  <c r="L8" i="17"/>
  <c r="G8" i="17"/>
  <c r="B8" i="17"/>
  <c r="A7" i="17"/>
  <c r="J6" i="17"/>
  <c r="J5" i="17"/>
  <c r="J4" i="17"/>
  <c r="M1" i="17"/>
  <c r="O94" i="16"/>
  <c r="C87" i="16"/>
  <c r="Q85" i="16"/>
  <c r="Q84" i="16"/>
  <c r="Q83" i="16"/>
  <c r="J82" i="16"/>
  <c r="H82" i="16"/>
  <c r="E82" i="16"/>
  <c r="B82" i="16"/>
  <c r="E81" i="16"/>
  <c r="B81" i="16"/>
  <c r="Q80" i="16"/>
  <c r="E80" i="16"/>
  <c r="B80" i="16"/>
  <c r="E79" i="16"/>
  <c r="Q78" i="16"/>
  <c r="E78" i="16"/>
  <c r="B78" i="16"/>
  <c r="Q77" i="16"/>
  <c r="E77" i="16"/>
  <c r="B77" i="16"/>
  <c r="Q76" i="16"/>
  <c r="E76" i="16"/>
  <c r="B76" i="16"/>
  <c r="Q75" i="16"/>
  <c r="E75" i="16"/>
  <c r="B75" i="16"/>
  <c r="Q74" i="16"/>
  <c r="E74" i="16"/>
  <c r="B74" i="16"/>
  <c r="Q73" i="16"/>
  <c r="E73" i="16"/>
  <c r="B73" i="16"/>
  <c r="Q72" i="16"/>
  <c r="E72" i="16"/>
  <c r="B72" i="16"/>
  <c r="Q71" i="16"/>
  <c r="E71" i="16"/>
  <c r="B71" i="16"/>
  <c r="Q70" i="16"/>
  <c r="E70" i="16"/>
  <c r="B70" i="16"/>
  <c r="Q69" i="16"/>
  <c r="E69" i="16"/>
  <c r="B69" i="16"/>
  <c r="Q68" i="16"/>
  <c r="E68" i="16"/>
  <c r="B68" i="16"/>
  <c r="Q67" i="16"/>
  <c r="E67" i="16"/>
  <c r="B67" i="16"/>
  <c r="E66" i="16"/>
  <c r="B66" i="16"/>
  <c r="Q65" i="16"/>
  <c r="E65" i="16"/>
  <c r="B65" i="16"/>
  <c r="Q64" i="16"/>
  <c r="E64" i="16"/>
  <c r="B64" i="16"/>
  <c r="Q63" i="16"/>
  <c r="E63" i="16"/>
  <c r="B63" i="16"/>
  <c r="Q62" i="16"/>
  <c r="B62" i="16"/>
  <c r="Q61" i="16"/>
  <c r="B61" i="16"/>
  <c r="Q60" i="16"/>
  <c r="E60" i="16"/>
  <c r="B60" i="16"/>
  <c r="Q59" i="16"/>
  <c r="B59" i="16"/>
  <c r="Q58" i="16"/>
  <c r="B58" i="16"/>
  <c r="Q57" i="16"/>
  <c r="E57" i="16"/>
  <c r="B57" i="16"/>
  <c r="Q56" i="16"/>
  <c r="E56" i="16"/>
  <c r="B56" i="16"/>
  <c r="Q55" i="16"/>
  <c r="B55" i="16"/>
  <c r="Q54" i="16"/>
  <c r="E54" i="16"/>
  <c r="B54" i="16"/>
  <c r="Q53" i="16"/>
  <c r="E53" i="16"/>
  <c r="B53" i="16"/>
  <c r="Q52" i="16"/>
  <c r="E52" i="16"/>
  <c r="B52" i="16"/>
  <c r="Q51" i="16"/>
  <c r="E51" i="16"/>
  <c r="B51" i="16"/>
  <c r="Q50" i="16"/>
  <c r="E50" i="16"/>
  <c r="B50" i="16"/>
  <c r="Q49" i="16"/>
  <c r="E49" i="16"/>
  <c r="B49" i="16"/>
  <c r="Q48" i="16"/>
  <c r="E48" i="16"/>
  <c r="B48" i="16"/>
  <c r="Q47" i="16"/>
  <c r="E47" i="16"/>
  <c r="B47" i="16"/>
  <c r="Q46" i="16"/>
  <c r="E46" i="16"/>
  <c r="B46" i="16"/>
  <c r="Q45" i="16"/>
  <c r="I45" i="16"/>
  <c r="E45" i="16"/>
  <c r="B45" i="16"/>
  <c r="Q44" i="16"/>
  <c r="I44" i="16"/>
  <c r="E44" i="16"/>
  <c r="B44" i="16"/>
  <c r="Q43" i="16"/>
  <c r="E43" i="16"/>
  <c r="B43" i="16"/>
  <c r="Q42" i="16"/>
  <c r="E42" i="16"/>
  <c r="B42" i="16"/>
  <c r="Q41" i="16"/>
  <c r="E41" i="16"/>
  <c r="B41" i="16"/>
  <c r="Q40" i="16"/>
  <c r="E40" i="16"/>
  <c r="B40" i="16"/>
  <c r="Q39" i="16"/>
  <c r="E39" i="16"/>
  <c r="B39" i="16"/>
  <c r="Q38" i="16"/>
  <c r="E38" i="16"/>
  <c r="B38" i="16"/>
  <c r="Q37" i="16"/>
  <c r="E37" i="16"/>
  <c r="B37" i="16"/>
  <c r="Q36" i="16"/>
  <c r="E36" i="16"/>
  <c r="B36" i="16"/>
  <c r="Q35" i="16"/>
  <c r="E35" i="16"/>
  <c r="B35" i="16"/>
  <c r="E34" i="16"/>
  <c r="B34" i="16"/>
  <c r="Q33" i="16"/>
  <c r="E33" i="16"/>
  <c r="B33" i="16"/>
  <c r="Q32" i="16"/>
  <c r="E32" i="16"/>
  <c r="B32" i="16"/>
  <c r="Q31" i="16"/>
  <c r="E31" i="16"/>
  <c r="B31" i="16"/>
  <c r="Q30" i="16"/>
  <c r="B30" i="16"/>
  <c r="E29" i="16"/>
  <c r="B29" i="16"/>
  <c r="E28" i="16"/>
  <c r="B28" i="16"/>
  <c r="B27" i="16"/>
  <c r="E26" i="16"/>
  <c r="B26" i="16"/>
  <c r="E25" i="16"/>
  <c r="B25" i="16"/>
  <c r="B24" i="16"/>
  <c r="M23" i="16"/>
  <c r="L23" i="16"/>
  <c r="E23" i="16"/>
  <c r="C23" i="16"/>
  <c r="B23" i="16"/>
  <c r="A23" i="16"/>
  <c r="A22" i="16"/>
  <c r="B20" i="16"/>
  <c r="B19" i="16"/>
  <c r="B18" i="16"/>
  <c r="B17" i="16"/>
  <c r="A16" i="16"/>
  <c r="G14" i="16"/>
  <c r="B14" i="16"/>
  <c r="B13" i="16"/>
  <c r="G12" i="16"/>
  <c r="B12" i="16"/>
  <c r="B10" i="16"/>
  <c r="B9" i="16"/>
  <c r="L8" i="16"/>
  <c r="G8" i="16"/>
  <c r="B8" i="16"/>
  <c r="A7" i="16"/>
  <c r="J6" i="16"/>
  <c r="J5" i="16"/>
  <c r="J4" i="16"/>
  <c r="M1" i="16"/>
  <c r="O95" i="15"/>
  <c r="C88" i="15"/>
  <c r="Q86" i="15"/>
  <c r="Q85" i="15"/>
  <c r="Q84" i="15"/>
  <c r="J83" i="15"/>
  <c r="H83" i="15"/>
  <c r="E83" i="15"/>
  <c r="B83" i="15"/>
  <c r="E82" i="15"/>
  <c r="B82" i="15"/>
  <c r="Q81" i="15"/>
  <c r="E81" i="15"/>
  <c r="B81" i="15"/>
  <c r="E80" i="15"/>
  <c r="Q79" i="15"/>
  <c r="E79" i="15"/>
  <c r="B79" i="15"/>
  <c r="Q78" i="15"/>
  <c r="E78" i="15"/>
  <c r="B78" i="15"/>
  <c r="Q77" i="15"/>
  <c r="E77" i="15"/>
  <c r="B77" i="15"/>
  <c r="Q76" i="15"/>
  <c r="E76" i="15"/>
  <c r="B76" i="15"/>
  <c r="Q75" i="15"/>
  <c r="E75" i="15"/>
  <c r="B75" i="15"/>
  <c r="Q74" i="15"/>
  <c r="E74" i="15"/>
  <c r="B74" i="15"/>
  <c r="Q73" i="15"/>
  <c r="E73" i="15"/>
  <c r="B73" i="15"/>
  <c r="Q72" i="15"/>
  <c r="E72" i="15"/>
  <c r="B72" i="15"/>
  <c r="Q71" i="15"/>
  <c r="E71" i="15"/>
  <c r="B71" i="15"/>
  <c r="Q70" i="15"/>
  <c r="E70" i="15"/>
  <c r="B70" i="15"/>
  <c r="Q69" i="15"/>
  <c r="E69" i="15"/>
  <c r="B69" i="15"/>
  <c r="Q68" i="15"/>
  <c r="E68" i="15"/>
  <c r="B68" i="15"/>
  <c r="E67" i="15"/>
  <c r="B67" i="15"/>
  <c r="Q66" i="15"/>
  <c r="E66" i="15"/>
  <c r="B66" i="15"/>
  <c r="Q65" i="15"/>
  <c r="E65" i="15"/>
  <c r="B65" i="15"/>
  <c r="Q64" i="15"/>
  <c r="E64" i="15"/>
  <c r="B64" i="15"/>
  <c r="Q63" i="15"/>
  <c r="E63" i="15"/>
  <c r="B63" i="15"/>
  <c r="Q62" i="15"/>
  <c r="B62" i="15"/>
  <c r="Q61" i="15"/>
  <c r="E61" i="15"/>
  <c r="B61" i="15"/>
  <c r="Q60" i="15"/>
  <c r="B60" i="15"/>
  <c r="Q59" i="15"/>
  <c r="B59" i="15"/>
  <c r="Q58" i="15"/>
  <c r="E58" i="15"/>
  <c r="B58" i="15"/>
  <c r="Q57" i="15"/>
  <c r="E57" i="15"/>
  <c r="B57" i="15"/>
  <c r="Q56" i="15"/>
  <c r="E56" i="15"/>
  <c r="B56" i="15"/>
  <c r="Q55" i="15"/>
  <c r="E55" i="15"/>
  <c r="B55" i="15"/>
  <c r="Q54" i="15"/>
  <c r="E54" i="15"/>
  <c r="B54" i="15"/>
  <c r="Q53" i="15"/>
  <c r="E53" i="15"/>
  <c r="B53" i="15"/>
  <c r="Q52" i="15"/>
  <c r="E52" i="15"/>
  <c r="B52" i="15"/>
  <c r="Q51" i="15"/>
  <c r="E51" i="15"/>
  <c r="B51" i="15"/>
  <c r="Q50" i="15"/>
  <c r="E50" i="15"/>
  <c r="B50" i="15"/>
  <c r="Q49" i="15"/>
  <c r="E49" i="15"/>
  <c r="B49" i="15"/>
  <c r="Q48" i="15"/>
  <c r="E48" i="15"/>
  <c r="B48" i="15"/>
  <c r="Q47" i="15"/>
  <c r="E47" i="15"/>
  <c r="B47" i="15"/>
  <c r="Q46" i="15"/>
  <c r="I46" i="15"/>
  <c r="E46" i="15"/>
  <c r="B46" i="15"/>
  <c r="Q45" i="15"/>
  <c r="I45" i="15"/>
  <c r="E45" i="15"/>
  <c r="B45" i="15"/>
  <c r="Q44" i="15"/>
  <c r="E44" i="15"/>
  <c r="B44" i="15"/>
  <c r="Q43" i="15"/>
  <c r="E43" i="15"/>
  <c r="B43" i="15"/>
  <c r="Q42" i="15"/>
  <c r="E42" i="15"/>
  <c r="B42" i="15"/>
  <c r="Q41" i="15"/>
  <c r="E41" i="15"/>
  <c r="B41" i="15"/>
  <c r="Q40" i="15"/>
  <c r="E40" i="15"/>
  <c r="B40" i="15"/>
  <c r="Q39" i="15"/>
  <c r="E39" i="15"/>
  <c r="B39" i="15"/>
  <c r="Q38" i="15"/>
  <c r="E38" i="15"/>
  <c r="B38" i="15"/>
  <c r="Q37" i="15"/>
  <c r="E37" i="15"/>
  <c r="B37" i="15"/>
  <c r="Q36" i="15"/>
  <c r="E36" i="15"/>
  <c r="B36" i="15"/>
  <c r="Q35" i="15"/>
  <c r="E35" i="15"/>
  <c r="B35" i="15"/>
  <c r="L34" i="15"/>
  <c r="E34" i="15"/>
  <c r="B34" i="15"/>
  <c r="Q33" i="15"/>
  <c r="E33" i="15"/>
  <c r="B33" i="15"/>
  <c r="Q32" i="15"/>
  <c r="E32" i="15"/>
  <c r="B32" i="15"/>
  <c r="Q31" i="15"/>
  <c r="E31" i="15"/>
  <c r="B31" i="15"/>
  <c r="Q30" i="15"/>
  <c r="B30" i="15"/>
  <c r="E29" i="15"/>
  <c r="B29" i="15"/>
  <c r="E28" i="15"/>
  <c r="B28" i="15"/>
  <c r="B27" i="15"/>
  <c r="Q26" i="15"/>
  <c r="E26" i="15"/>
  <c r="B26" i="15"/>
  <c r="Q25" i="15"/>
  <c r="B25" i="15"/>
  <c r="B24" i="15"/>
  <c r="M23" i="15"/>
  <c r="L23" i="15"/>
  <c r="E23" i="15"/>
  <c r="C23" i="15"/>
  <c r="B23" i="15"/>
  <c r="A23" i="15"/>
  <c r="A22" i="15"/>
  <c r="B20" i="15"/>
  <c r="B19" i="15"/>
  <c r="B18" i="15"/>
  <c r="B17" i="15"/>
  <c r="A16" i="15"/>
  <c r="G14" i="15"/>
  <c r="B14" i="15"/>
  <c r="B13" i="15"/>
  <c r="G12" i="15"/>
  <c r="B12" i="15"/>
  <c r="B10" i="15"/>
  <c r="B9" i="15"/>
  <c r="L8" i="15"/>
  <c r="G8" i="15"/>
  <c r="B8" i="15"/>
  <c r="A7" i="15"/>
  <c r="J6" i="15"/>
  <c r="J5" i="15"/>
  <c r="J4" i="15"/>
  <c r="M2" i="15"/>
  <c r="M1" i="15"/>
  <c r="Q92" i="14"/>
  <c r="C85" i="14"/>
  <c r="Q83" i="14"/>
  <c r="Q82" i="14"/>
  <c r="Q81" i="14"/>
  <c r="J80" i="14"/>
  <c r="H80" i="14"/>
  <c r="E80" i="14"/>
  <c r="B80" i="14"/>
  <c r="E79" i="14"/>
  <c r="B79" i="14"/>
  <c r="Q78" i="14"/>
  <c r="E78" i="14"/>
  <c r="B78" i="14"/>
  <c r="E77" i="14"/>
  <c r="Q76" i="14"/>
  <c r="E76" i="14"/>
  <c r="B76" i="14"/>
  <c r="Q75" i="14"/>
  <c r="E75" i="14"/>
  <c r="B75" i="14"/>
  <c r="Q74" i="14"/>
  <c r="E74" i="14"/>
  <c r="B74" i="14"/>
  <c r="Q73" i="14"/>
  <c r="E73" i="14"/>
  <c r="B73" i="14"/>
  <c r="Q72" i="14"/>
  <c r="E72" i="14"/>
  <c r="B72" i="14"/>
  <c r="Q71" i="14"/>
  <c r="E71" i="14"/>
  <c r="B71" i="14"/>
  <c r="Q70" i="14"/>
  <c r="E70" i="14"/>
  <c r="B70" i="14"/>
  <c r="Q69" i="14"/>
  <c r="E69" i="14"/>
  <c r="B69" i="14"/>
  <c r="Q68" i="14"/>
  <c r="E68" i="14"/>
  <c r="B68" i="14"/>
  <c r="Q67" i="14"/>
  <c r="E67" i="14"/>
  <c r="B67" i="14"/>
  <c r="Q66" i="14"/>
  <c r="E66" i="14"/>
  <c r="B66" i="14"/>
  <c r="Q65" i="14"/>
  <c r="E65" i="14"/>
  <c r="B65" i="14"/>
  <c r="E64" i="14"/>
  <c r="B64" i="14"/>
  <c r="Q63" i="14"/>
  <c r="E63" i="14"/>
  <c r="B63" i="14"/>
  <c r="Q62" i="14"/>
  <c r="E62" i="14"/>
  <c r="B62" i="14"/>
  <c r="Q61" i="14"/>
  <c r="E61" i="14"/>
  <c r="B61" i="14"/>
  <c r="Q60" i="14"/>
  <c r="E60" i="14"/>
  <c r="B60" i="14"/>
  <c r="Q59" i="14"/>
  <c r="B59" i="14"/>
  <c r="Q58" i="14"/>
  <c r="E58" i="14"/>
  <c r="B58" i="14"/>
  <c r="Q57" i="14"/>
  <c r="B57" i="14"/>
  <c r="Q56" i="14"/>
  <c r="B56" i="14"/>
  <c r="Q55" i="14"/>
  <c r="E55" i="14"/>
  <c r="B55" i="14"/>
  <c r="Q54" i="14"/>
  <c r="E54" i="14"/>
  <c r="B54" i="14"/>
  <c r="Q53" i="14"/>
  <c r="B53" i="14"/>
  <c r="Q52" i="14"/>
  <c r="E52" i="14"/>
  <c r="B52" i="14"/>
  <c r="Q51" i="14"/>
  <c r="E51" i="14"/>
  <c r="B51" i="14"/>
  <c r="Q50" i="14"/>
  <c r="E50" i="14"/>
  <c r="B50" i="14"/>
  <c r="Q49" i="14"/>
  <c r="E49" i="14"/>
  <c r="B49" i="14"/>
  <c r="Q48" i="14"/>
  <c r="E48" i="14"/>
  <c r="B48" i="14"/>
  <c r="Q47" i="14"/>
  <c r="E47" i="14"/>
  <c r="B47" i="14"/>
  <c r="Q46" i="14"/>
  <c r="E46" i="14"/>
  <c r="B46" i="14"/>
  <c r="Q45" i="14"/>
  <c r="E45" i="14"/>
  <c r="B45" i="14"/>
  <c r="Q44" i="14"/>
  <c r="E44" i="14"/>
  <c r="B44" i="14"/>
  <c r="Q43" i="14"/>
  <c r="I43" i="14"/>
  <c r="E43" i="14"/>
  <c r="B43" i="14"/>
  <c r="Q42" i="14"/>
  <c r="I42" i="14"/>
  <c r="E42" i="14"/>
  <c r="B42" i="14"/>
  <c r="Q41" i="14"/>
  <c r="E41" i="14"/>
  <c r="B41" i="14"/>
  <c r="Q40" i="14"/>
  <c r="E40" i="14"/>
  <c r="B40" i="14"/>
  <c r="Q39" i="14"/>
  <c r="E39" i="14"/>
  <c r="B39" i="14"/>
  <c r="Q38" i="14"/>
  <c r="E38" i="14"/>
  <c r="B38" i="14"/>
  <c r="Q37" i="14"/>
  <c r="E37" i="14"/>
  <c r="B37" i="14"/>
  <c r="Q36" i="14"/>
  <c r="E36" i="14"/>
  <c r="B36" i="14"/>
  <c r="Q35" i="14"/>
  <c r="E35" i="14"/>
  <c r="B35" i="14"/>
  <c r="Q34" i="14"/>
  <c r="E34" i="14"/>
  <c r="B34" i="14"/>
  <c r="Q33" i="14"/>
  <c r="E33" i="14"/>
  <c r="B33" i="14"/>
  <c r="E32" i="14"/>
  <c r="B32" i="14"/>
  <c r="Q31" i="14"/>
  <c r="E31" i="14"/>
  <c r="B31" i="14"/>
  <c r="Q30" i="14"/>
  <c r="E30" i="14"/>
  <c r="B30" i="14"/>
  <c r="Q29" i="14"/>
  <c r="E29" i="14"/>
  <c r="B29" i="14"/>
  <c r="Q28" i="14"/>
  <c r="B28" i="14"/>
  <c r="E27" i="14"/>
  <c r="B27" i="14"/>
  <c r="E26" i="14"/>
  <c r="B26" i="14"/>
  <c r="B25" i="14"/>
  <c r="B24" i="14"/>
  <c r="M23" i="14"/>
  <c r="L23" i="14"/>
  <c r="E23" i="14"/>
  <c r="B23" i="14"/>
  <c r="A23" i="14"/>
  <c r="A22" i="14"/>
  <c r="B20" i="14"/>
  <c r="B19" i="14"/>
  <c r="B18" i="14"/>
  <c r="B17" i="14"/>
  <c r="A16" i="14"/>
  <c r="G14" i="14"/>
  <c r="B14" i="14"/>
  <c r="B13" i="14"/>
  <c r="G12" i="14"/>
  <c r="B12" i="14"/>
  <c r="B10" i="14"/>
  <c r="B9" i="14"/>
  <c r="L8" i="14"/>
  <c r="G8" i="14"/>
  <c r="B8" i="14"/>
  <c r="A7" i="14"/>
  <c r="J6" i="14"/>
  <c r="J5" i="14"/>
  <c r="J4" i="14"/>
  <c r="M2" i="14"/>
  <c r="M1" i="14"/>
  <c r="A179" i="2"/>
  <c r="A178" i="2"/>
  <c r="A131" i="2"/>
  <c r="A130" i="2"/>
  <c r="A128" i="2"/>
  <c r="A127" i="2"/>
  <c r="R81" i="18"/>
  <c r="A126" i="2"/>
  <c r="A125" i="2"/>
  <c r="A124" i="2"/>
  <c r="Q26" i="17"/>
  <c r="A123" i="2"/>
  <c r="A122" i="2"/>
  <c r="A114" i="2"/>
  <c r="A82" i="2"/>
  <c r="A50" i="2"/>
  <c r="A26" i="2"/>
  <c r="D43" i="18"/>
  <c r="A25" i="2"/>
  <c r="A24" i="2"/>
  <c r="A22" i="2"/>
  <c r="A21" i="2"/>
  <c r="A19" i="2"/>
  <c r="A18" i="2"/>
  <c r="A16" i="2"/>
  <c r="D40" i="18"/>
  <c r="A15" i="2"/>
  <c r="A8" i="2"/>
  <c r="A7" i="2"/>
  <c r="R30" i="13"/>
  <c r="A6" i="2"/>
  <c r="O112" i="1"/>
  <c r="K112" i="1"/>
  <c r="A112" i="1"/>
  <c r="C105" i="1"/>
  <c r="R100" i="1"/>
  <c r="E100" i="1"/>
  <c r="B100" i="1"/>
  <c r="B99" i="1"/>
  <c r="Q99" i="1"/>
  <c r="B98" i="1"/>
  <c r="Q98" i="1"/>
  <c r="B97" i="1"/>
  <c r="Q97" i="1"/>
  <c r="Q96" i="1"/>
  <c r="E96" i="1"/>
  <c r="B96" i="1"/>
  <c r="Q95" i="1"/>
  <c r="J95" i="1"/>
  <c r="E95" i="1"/>
  <c r="B95" i="1"/>
  <c r="Q94" i="1"/>
  <c r="J94" i="1"/>
  <c r="B94" i="1"/>
  <c r="Q93" i="1"/>
  <c r="E93" i="1"/>
  <c r="B93" i="1"/>
  <c r="Q92" i="1"/>
  <c r="E92" i="1"/>
  <c r="B92" i="1"/>
  <c r="Q91" i="1"/>
  <c r="E91" i="1"/>
  <c r="B91" i="1"/>
  <c r="Q90" i="1"/>
  <c r="E90" i="1"/>
  <c r="B90" i="1"/>
  <c r="Q89" i="1"/>
  <c r="E89" i="1"/>
  <c r="B89" i="1"/>
  <c r="Q88" i="1"/>
  <c r="E88" i="1"/>
  <c r="B88" i="1"/>
  <c r="Q87" i="1"/>
  <c r="E87" i="1"/>
  <c r="B87" i="1"/>
  <c r="Q86" i="1"/>
  <c r="E86" i="1"/>
  <c r="B86" i="1"/>
  <c r="Q85" i="1"/>
  <c r="E85" i="1"/>
  <c r="B85" i="1"/>
  <c r="Q84" i="1"/>
  <c r="E84" i="1"/>
  <c r="B84" i="1"/>
  <c r="Q83" i="1"/>
  <c r="E83" i="1"/>
  <c r="B83" i="1"/>
  <c r="Q82" i="1"/>
  <c r="E82" i="1"/>
  <c r="B82" i="1"/>
  <c r="Q81" i="1"/>
  <c r="E81" i="1"/>
  <c r="B81" i="1"/>
  <c r="Q80" i="1"/>
  <c r="E80" i="1"/>
  <c r="B80" i="1"/>
  <c r="Q79" i="1"/>
  <c r="E79" i="1"/>
  <c r="B79" i="1"/>
  <c r="Q78" i="1"/>
  <c r="E78" i="1"/>
  <c r="B78" i="1"/>
  <c r="Q77" i="1"/>
  <c r="E77" i="1"/>
  <c r="B77" i="1"/>
  <c r="Q76" i="1"/>
  <c r="E76" i="1"/>
  <c r="B76" i="1"/>
  <c r="Q75" i="1"/>
  <c r="E75" i="1"/>
  <c r="B75" i="1"/>
  <c r="Q74" i="1"/>
  <c r="B74" i="1"/>
  <c r="Q73" i="1"/>
  <c r="B73" i="1"/>
  <c r="Q72" i="1"/>
  <c r="E72" i="1"/>
  <c r="B72" i="1"/>
  <c r="Q71" i="1"/>
  <c r="E71" i="1"/>
  <c r="B71" i="1"/>
  <c r="Q70" i="1"/>
  <c r="E70" i="1"/>
  <c r="B70" i="1"/>
  <c r="Q69" i="1"/>
  <c r="E69" i="1"/>
  <c r="B69" i="1"/>
  <c r="Q68" i="1"/>
  <c r="B68" i="1"/>
  <c r="I67" i="1"/>
  <c r="B67" i="1"/>
  <c r="I66" i="1"/>
  <c r="B66" i="1"/>
  <c r="Q65" i="1"/>
  <c r="J65" i="1"/>
  <c r="E65" i="1"/>
  <c r="B65" i="1"/>
  <c r="Q64" i="1"/>
  <c r="I64" i="1"/>
  <c r="E64" i="1"/>
  <c r="B64" i="1"/>
  <c r="Q63" i="1"/>
  <c r="B63" i="1"/>
  <c r="Q62" i="1"/>
  <c r="E62" i="1"/>
  <c r="B62" i="1"/>
  <c r="Q61" i="1"/>
  <c r="E61" i="1"/>
  <c r="B61" i="1"/>
  <c r="Q60" i="1"/>
  <c r="E60" i="1"/>
  <c r="B60" i="1"/>
  <c r="Q59" i="1"/>
  <c r="E59" i="1"/>
  <c r="B59" i="1"/>
  <c r="Q58" i="1"/>
  <c r="B58" i="1"/>
  <c r="Q57" i="1"/>
  <c r="E57" i="1"/>
  <c r="B57" i="1"/>
  <c r="Q56" i="1"/>
  <c r="E56" i="1"/>
  <c r="B56" i="1"/>
  <c r="Q55" i="1"/>
  <c r="E55" i="1"/>
  <c r="B55" i="1"/>
  <c r="Q54" i="1"/>
  <c r="E54" i="1"/>
  <c r="B54" i="1"/>
  <c r="Q53" i="1"/>
  <c r="E53" i="1"/>
  <c r="B53" i="1"/>
  <c r="Q52" i="1"/>
  <c r="E52" i="1"/>
  <c r="B52" i="1"/>
  <c r="Q51" i="1"/>
  <c r="E51" i="1"/>
  <c r="B51" i="1"/>
  <c r="Q50" i="1"/>
  <c r="E50" i="1"/>
  <c r="B50" i="1"/>
  <c r="Q49" i="1"/>
  <c r="B49" i="1"/>
  <c r="I47" i="1"/>
  <c r="E47" i="1"/>
  <c r="B47" i="1"/>
  <c r="Q46" i="1"/>
  <c r="B46" i="1"/>
  <c r="Q44" i="1"/>
  <c r="E44" i="1"/>
  <c r="B44" i="1"/>
  <c r="Q43" i="1"/>
  <c r="E43" i="1"/>
  <c r="B43" i="1"/>
  <c r="Q42" i="1"/>
  <c r="E42" i="1"/>
  <c r="B42" i="1"/>
  <c r="Q41" i="1"/>
  <c r="E41" i="1"/>
  <c r="B41" i="1"/>
  <c r="Q40" i="1"/>
  <c r="E40" i="1"/>
  <c r="B40" i="1"/>
  <c r="Q39" i="1"/>
  <c r="L39" i="1"/>
  <c r="E39" i="1"/>
  <c r="B39" i="1"/>
  <c r="Q38" i="1"/>
  <c r="E38" i="1"/>
  <c r="B38" i="1"/>
  <c r="Q37" i="1"/>
  <c r="B37" i="1"/>
  <c r="Q36" i="1"/>
  <c r="I36" i="1"/>
  <c r="E36" i="1"/>
  <c r="B36" i="1"/>
  <c r="Q35" i="1"/>
  <c r="I35" i="1"/>
  <c r="E35" i="1"/>
  <c r="B35" i="1"/>
  <c r="Q34" i="1"/>
  <c r="E34" i="1"/>
  <c r="B34" i="1"/>
  <c r="R33" i="1"/>
  <c r="Q33" i="1"/>
  <c r="I33" i="1"/>
  <c r="E33" i="1"/>
  <c r="B33" i="1"/>
  <c r="I32" i="1"/>
  <c r="E32" i="1"/>
  <c r="B32" i="1"/>
  <c r="M31" i="1"/>
  <c r="L31" i="1"/>
  <c r="E31" i="1"/>
  <c r="C31" i="1"/>
  <c r="B31" i="1"/>
  <c r="A31" i="1"/>
  <c r="A30" i="1"/>
  <c r="G27" i="1"/>
  <c r="G25" i="1"/>
  <c r="J23" i="1"/>
  <c r="G23" i="1"/>
  <c r="B20" i="1"/>
  <c r="B19" i="1"/>
  <c r="B18" i="1"/>
  <c r="B17" i="1"/>
  <c r="A16" i="1"/>
  <c r="G14" i="1"/>
  <c r="B14" i="1"/>
  <c r="B13" i="1"/>
  <c r="G12" i="1"/>
  <c r="B12" i="1"/>
  <c r="B10" i="1"/>
  <c r="B9" i="1"/>
  <c r="L8" i="1"/>
  <c r="G8" i="1"/>
  <c r="B8" i="1"/>
  <c r="A7" i="1"/>
  <c r="J6" i="1"/>
  <c r="J5" i="1"/>
  <c r="J4" i="1"/>
  <c r="M2" i="1"/>
  <c r="M1" i="1"/>
  <c r="O98" i="13"/>
  <c r="C91" i="13"/>
  <c r="Q89" i="13"/>
  <c r="Q88" i="13"/>
  <c r="Q87" i="13"/>
  <c r="J86" i="13"/>
  <c r="H86" i="13"/>
  <c r="E86" i="13"/>
  <c r="B86" i="13"/>
  <c r="E85" i="13"/>
  <c r="B85" i="13"/>
  <c r="Q84" i="13"/>
  <c r="E84" i="13"/>
  <c r="B84" i="13"/>
  <c r="Q83" i="13"/>
  <c r="E83" i="13"/>
  <c r="B83" i="13"/>
  <c r="Q82" i="13"/>
  <c r="E82" i="13"/>
  <c r="B82" i="13"/>
  <c r="E81" i="13"/>
  <c r="Q80" i="13"/>
  <c r="E80" i="13"/>
  <c r="B80" i="13"/>
  <c r="Q79" i="13"/>
  <c r="E79" i="13"/>
  <c r="B79" i="13"/>
  <c r="Q78" i="13"/>
  <c r="E78" i="13"/>
  <c r="B78" i="13"/>
  <c r="Q77" i="13"/>
  <c r="E77" i="13"/>
  <c r="B77" i="13"/>
  <c r="Q76" i="13"/>
  <c r="E76" i="13"/>
  <c r="B76" i="13"/>
  <c r="Q75" i="13"/>
  <c r="E75" i="13"/>
  <c r="B75" i="13"/>
  <c r="Q74" i="13"/>
  <c r="E74" i="13"/>
  <c r="B74" i="13"/>
  <c r="Q73" i="13"/>
  <c r="E73" i="13"/>
  <c r="B73" i="13"/>
  <c r="Q72" i="13"/>
  <c r="E72" i="13"/>
  <c r="B72" i="13"/>
  <c r="Q71" i="13"/>
  <c r="E71" i="13"/>
  <c r="B71" i="13"/>
  <c r="Q70" i="13"/>
  <c r="E70" i="13"/>
  <c r="B70" i="13"/>
  <c r="Q69" i="13"/>
  <c r="E69" i="13"/>
  <c r="B69" i="13"/>
  <c r="E68" i="13"/>
  <c r="B68" i="13"/>
  <c r="Q67" i="13"/>
  <c r="E67" i="13"/>
  <c r="B67" i="13"/>
  <c r="Q66" i="13"/>
  <c r="E66" i="13"/>
  <c r="B66" i="13"/>
  <c r="Q65" i="13"/>
  <c r="E65" i="13"/>
  <c r="B65" i="13"/>
  <c r="Q64" i="13"/>
  <c r="B64" i="13"/>
  <c r="Q63" i="13"/>
  <c r="B63" i="13"/>
  <c r="Q62" i="13"/>
  <c r="E62" i="13"/>
  <c r="B62" i="13"/>
  <c r="Q61" i="13"/>
  <c r="B61" i="13"/>
  <c r="Q60" i="13"/>
  <c r="B60" i="13"/>
  <c r="Q59" i="13"/>
  <c r="E59" i="13"/>
  <c r="B59" i="13"/>
  <c r="Q58" i="13"/>
  <c r="E58" i="13"/>
  <c r="B58" i="13"/>
  <c r="Q57" i="13"/>
  <c r="E57" i="13"/>
  <c r="B57" i="13"/>
  <c r="Q56" i="13"/>
  <c r="E56" i="13"/>
  <c r="B56" i="13"/>
  <c r="Q55" i="13"/>
  <c r="E55" i="13"/>
  <c r="B55" i="13"/>
  <c r="Q54" i="13"/>
  <c r="E54" i="13"/>
  <c r="B54" i="13"/>
  <c r="Q53" i="13"/>
  <c r="E53" i="13"/>
  <c r="B53" i="13"/>
  <c r="Q52" i="13"/>
  <c r="E52" i="13"/>
  <c r="B52" i="13"/>
  <c r="Q51" i="13"/>
  <c r="E51" i="13"/>
  <c r="B51" i="13"/>
  <c r="Q50" i="13"/>
  <c r="E50" i="13"/>
  <c r="B50" i="13"/>
  <c r="Q49" i="13"/>
  <c r="E49" i="13"/>
  <c r="B49" i="13"/>
  <c r="Q48" i="13"/>
  <c r="E48" i="13"/>
  <c r="B48" i="13"/>
  <c r="Q47" i="13"/>
  <c r="I47" i="13"/>
  <c r="E47" i="13"/>
  <c r="B47" i="13"/>
  <c r="Q46" i="13"/>
  <c r="I46" i="13"/>
  <c r="E46" i="13"/>
  <c r="B46" i="13"/>
  <c r="Q45" i="13"/>
  <c r="E45" i="13"/>
  <c r="B45" i="13"/>
  <c r="Q44" i="13"/>
  <c r="E44" i="13"/>
  <c r="B44" i="13"/>
  <c r="Q43" i="13"/>
  <c r="E43" i="13"/>
  <c r="B43" i="13"/>
  <c r="Q42" i="13"/>
  <c r="E42" i="13"/>
  <c r="B42" i="13"/>
  <c r="Q41" i="13"/>
  <c r="E41" i="13"/>
  <c r="B41" i="13"/>
  <c r="Q40" i="13"/>
  <c r="E40" i="13"/>
  <c r="B40" i="13"/>
  <c r="Q39" i="13"/>
  <c r="E39" i="13"/>
  <c r="B39" i="13"/>
  <c r="Q38" i="13"/>
  <c r="E38" i="13"/>
  <c r="B38" i="13"/>
  <c r="Q37" i="13"/>
  <c r="E37" i="13"/>
  <c r="B37" i="13"/>
  <c r="Q36" i="13"/>
  <c r="E36" i="13"/>
  <c r="B36" i="13"/>
  <c r="E35" i="13"/>
  <c r="B35" i="13"/>
  <c r="Q34" i="13"/>
  <c r="E34" i="13"/>
  <c r="B34" i="13"/>
  <c r="Q33" i="13"/>
  <c r="E33" i="13"/>
  <c r="B33" i="13"/>
  <c r="Q32" i="13"/>
  <c r="E32" i="13"/>
  <c r="B32" i="13"/>
  <c r="Q31" i="13"/>
  <c r="B31" i="13"/>
  <c r="E30" i="13"/>
  <c r="B30" i="13"/>
  <c r="E29" i="13"/>
  <c r="B29" i="13"/>
  <c r="E28" i="13"/>
  <c r="B28" i="13"/>
  <c r="Q27" i="13"/>
  <c r="E27" i="13"/>
  <c r="B27" i="13"/>
  <c r="E26" i="13"/>
  <c r="B26" i="13"/>
  <c r="E25" i="13"/>
  <c r="B25" i="13"/>
  <c r="E24" i="13"/>
  <c r="B24" i="13"/>
  <c r="C23" i="13"/>
  <c r="B23" i="13"/>
  <c r="A23" i="13"/>
  <c r="A22" i="13"/>
  <c r="I20" i="13"/>
  <c r="B20" i="13"/>
  <c r="B19" i="13"/>
  <c r="B18" i="13"/>
  <c r="B17" i="13"/>
  <c r="A16" i="13"/>
  <c r="G14" i="13"/>
  <c r="B14" i="13"/>
  <c r="B13" i="13"/>
  <c r="L12" i="13"/>
  <c r="G12" i="13"/>
  <c r="B12" i="13"/>
  <c r="B10" i="13"/>
  <c r="B9" i="13"/>
  <c r="L8" i="13"/>
  <c r="G8" i="13"/>
  <c r="B8" i="13"/>
  <c r="A7" i="13"/>
  <c r="J6" i="13"/>
  <c r="J5" i="13"/>
  <c r="J4" i="13"/>
  <c r="M2" i="13"/>
  <c r="M1" i="13"/>
  <c r="E2" i="4"/>
  <c r="M1" i="4"/>
  <c r="A187" i="2"/>
  <c r="J92" i="1"/>
  <c r="Q24" i="20"/>
  <c r="A190" i="2"/>
  <c r="J54" i="1"/>
  <c r="R79" i="1"/>
  <c r="R77" i="1"/>
  <c r="R73" i="1"/>
  <c r="R72" i="1"/>
  <c r="R71" i="1"/>
  <c r="R70" i="1"/>
  <c r="R63" i="1"/>
  <c r="L62" i="1"/>
  <c r="R60" i="1"/>
  <c r="R55" i="1"/>
  <c r="R54" i="1"/>
  <c r="R53" i="1"/>
  <c r="L51" i="1"/>
  <c r="L85" i="1"/>
  <c r="L49" i="1"/>
  <c r="L58" i="1"/>
  <c r="L59" i="1"/>
  <c r="L64" i="1"/>
  <c r="L65" i="1"/>
  <c r="L66" i="1"/>
  <c r="L68" i="1"/>
  <c r="L70" i="1"/>
  <c r="L71" i="1"/>
  <c r="L72" i="1"/>
  <c r="L73" i="1"/>
  <c r="L78" i="1"/>
  <c r="L79" i="1"/>
  <c r="L80" i="1"/>
  <c r="L82" i="1"/>
  <c r="L83" i="1"/>
  <c r="L84" i="1"/>
  <c r="L86" i="1"/>
  <c r="L87" i="1"/>
  <c r="L89" i="1"/>
  <c r="L90" i="1"/>
  <c r="L91" i="1"/>
  <c r="L92" i="1"/>
  <c r="L93" i="1"/>
  <c r="L94" i="1"/>
  <c r="L69" i="1"/>
  <c r="L77" i="1"/>
  <c r="L53" i="1"/>
  <c r="L76" i="1"/>
  <c r="L67" i="1"/>
  <c r="L74" i="1"/>
  <c r="L52" i="1"/>
  <c r="L81" i="1"/>
  <c r="L50" i="1"/>
  <c r="L56" i="1"/>
  <c r="L61" i="1"/>
  <c r="L75" i="1"/>
  <c r="L57" i="1"/>
  <c r="L63" i="1"/>
  <c r="L60" i="1"/>
  <c r="L54" i="1"/>
  <c r="L55" i="1"/>
  <c r="R42" i="1"/>
  <c r="R41" i="1"/>
  <c r="R40" i="1"/>
  <c r="L27" i="17"/>
  <c r="L26" i="15"/>
  <c r="L88" i="1"/>
  <c r="A229" i="2"/>
  <c r="J55" i="1"/>
  <c r="J51" i="1"/>
  <c r="J39" i="1"/>
  <c r="A206" i="2"/>
  <c r="J43" i="1"/>
  <c r="J52" i="1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65" i="19"/>
  <c r="L64" i="19"/>
  <c r="Q63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81" i="18"/>
  <c r="L80" i="18"/>
  <c r="L79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Q23" i="18"/>
  <c r="Q2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6" i="17"/>
  <c r="L24" i="17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3" i="15"/>
  <c r="L32" i="15"/>
  <c r="L31" i="15"/>
  <c r="L30" i="15"/>
  <c r="L29" i="15"/>
  <c r="L28" i="15"/>
  <c r="L27" i="15"/>
  <c r="L25" i="15"/>
  <c r="Q24" i="15"/>
  <c r="L24" i="15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5" i="14"/>
  <c r="L24" i="14"/>
  <c r="Q23" i="14"/>
  <c r="L84" i="13"/>
  <c r="L83" i="13"/>
  <c r="L82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27" i="13"/>
  <c r="L30" i="13"/>
  <c r="L26" i="13"/>
  <c r="L25" i="13"/>
  <c r="E231" i="2"/>
  <c r="A193" i="2"/>
  <c r="J93" i="1"/>
  <c r="A266" i="2"/>
  <c r="J80" i="1"/>
  <c r="J85" i="1"/>
  <c r="A237" i="2"/>
  <c r="J63" i="1"/>
  <c r="A240" i="2"/>
  <c r="J70" i="1"/>
  <c r="A243" i="2"/>
  <c r="J75" i="1"/>
  <c r="A234" i="2"/>
  <c r="J84" i="1"/>
  <c r="E230" i="2"/>
  <c r="J34" i="1"/>
  <c r="A203" i="2"/>
  <c r="J42" i="1"/>
  <c r="A222" i="2"/>
  <c r="J49" i="1"/>
  <c r="A226" i="2"/>
  <c r="J50" i="1"/>
  <c r="B179" i="2"/>
  <c r="E179" i="2"/>
  <c r="B178" i="2"/>
  <c r="E178" i="2"/>
  <c r="L96" i="1"/>
  <c r="L95" i="1"/>
  <c r="L99" i="1"/>
  <c r="L97" i="1"/>
  <c r="L98" i="1"/>
  <c r="L41" i="1"/>
  <c r="L47" i="1"/>
  <c r="L37" i="1"/>
  <c r="L46" i="1"/>
  <c r="L44" i="1"/>
  <c r="L43" i="1"/>
  <c r="L42" i="1"/>
  <c r="L40" i="19"/>
  <c r="L25" i="17"/>
  <c r="Q25" i="16"/>
  <c r="L28" i="13"/>
  <c r="L81" i="13"/>
  <c r="L24" i="13"/>
  <c r="L100" i="1"/>
  <c r="L85" i="13"/>
  <c r="L86" i="13"/>
  <c r="L29" i="13"/>
  <c r="L26" i="14"/>
  <c r="L33" i="1"/>
  <c r="L32" i="1"/>
  <c r="L34" i="1"/>
  <c r="L40" i="1"/>
  <c r="L36" i="1"/>
  <c r="L35" i="1"/>
  <c r="L38" i="1"/>
  <c r="D23" i="13"/>
  <c r="D23" i="15"/>
  <c r="D23" i="14"/>
  <c r="D23" i="16"/>
  <c r="D23" i="17"/>
  <c r="D23" i="18"/>
  <c r="D23" i="19"/>
  <c r="D23" i="20"/>
  <c r="D31" i="1"/>
  <c r="R85" i="13"/>
  <c r="D82" i="17"/>
  <c r="D85" i="13"/>
  <c r="D82" i="15"/>
  <c r="D81" i="16"/>
  <c r="D35" i="20"/>
  <c r="D64" i="1"/>
  <c r="D35" i="1"/>
  <c r="D66" i="1"/>
  <c r="D39" i="19"/>
  <c r="Q100" i="1"/>
  <c r="D42" i="17"/>
  <c r="D79" i="14"/>
  <c r="D100" i="1"/>
  <c r="R29" i="15"/>
  <c r="D80" i="18"/>
  <c r="D65" i="19"/>
  <c r="R29" i="16"/>
  <c r="Q29" i="16"/>
  <c r="R30" i="17"/>
  <c r="Q26" i="16"/>
  <c r="R80" i="18"/>
  <c r="Q80" i="18"/>
  <c r="R26" i="19"/>
  <c r="R83" i="15"/>
  <c r="Q83" i="15"/>
  <c r="R28" i="18"/>
  <c r="Q28" i="18"/>
  <c r="R27" i="14"/>
  <c r="Q27" i="14"/>
  <c r="D32" i="20"/>
  <c r="Q26" i="18"/>
  <c r="D41" i="16"/>
  <c r="Q81" i="18"/>
  <c r="Q25" i="17"/>
  <c r="D30" i="20"/>
  <c r="D67" i="1"/>
  <c r="A196" i="2"/>
  <c r="D86" i="13"/>
  <c r="Q28" i="17"/>
  <c r="Q25" i="13"/>
  <c r="D83" i="17"/>
  <c r="D33" i="1"/>
  <c r="J73" i="1"/>
  <c r="Q25" i="14"/>
  <c r="Q27" i="15"/>
  <c r="Q26" i="13"/>
  <c r="D28" i="18"/>
  <c r="Q85" i="13"/>
  <c r="Q64" i="19"/>
  <c r="D82" i="16"/>
  <c r="Q24" i="13"/>
  <c r="D39" i="14"/>
  <c r="Q27" i="16"/>
  <c r="D88" i="1"/>
  <c r="D41" i="15"/>
  <c r="D42" i="13"/>
  <c r="R83" i="17"/>
  <c r="Q83" i="17"/>
  <c r="R81" i="16"/>
  <c r="Q81" i="16"/>
  <c r="R80" i="14"/>
  <c r="Q80" i="14"/>
  <c r="D44" i="18"/>
  <c r="R25" i="19"/>
  <c r="Q25" i="19"/>
  <c r="B210" i="2"/>
  <c r="E210" i="2"/>
  <c r="D47" i="1"/>
  <c r="R82" i="17"/>
  <c r="Q82" i="17"/>
  <c r="R79" i="14"/>
  <c r="Q79" i="14"/>
  <c r="R24" i="19"/>
  <c r="Q24" i="19"/>
  <c r="R82" i="16"/>
  <c r="Q82" i="16"/>
  <c r="R86" i="13"/>
  <c r="Q86" i="13"/>
  <c r="D29" i="16"/>
  <c r="R82" i="15"/>
  <c r="Q82" i="15"/>
  <c r="D41" i="13"/>
  <c r="D40" i="15"/>
  <c r="D30" i="13"/>
  <c r="Q65" i="19"/>
  <c r="R27" i="18"/>
  <c r="Q27" i="18"/>
  <c r="D31" i="15"/>
  <c r="D38" i="14"/>
  <c r="D86" i="1"/>
  <c r="D40" i="16"/>
  <c r="D41" i="17"/>
  <c r="Q30" i="17"/>
  <c r="D26" i="14"/>
  <c r="R28" i="16"/>
  <c r="Q28" i="16"/>
  <c r="D29" i="13"/>
  <c r="R31" i="19"/>
  <c r="D28" i="15"/>
  <c r="Q28" i="13"/>
  <c r="D38" i="20"/>
  <c r="D29" i="15"/>
  <c r="D36" i="19"/>
  <c r="D32" i="17"/>
  <c r="D32" i="13"/>
  <c r="D27" i="18"/>
  <c r="R29" i="17"/>
  <c r="Q29" i="17"/>
  <c r="R32" i="19"/>
  <c r="Q32" i="19"/>
  <c r="D28" i="16"/>
  <c r="D29" i="17"/>
  <c r="D30" i="18"/>
  <c r="D29" i="14"/>
  <c r="Q26" i="19"/>
  <c r="D27" i="14"/>
  <c r="D31" i="16"/>
  <c r="R29" i="13"/>
  <c r="Q29" i="13"/>
  <c r="D30" i="17"/>
  <c r="D32" i="19"/>
  <c r="R26" i="14"/>
  <c r="Q26" i="14"/>
  <c r="R33" i="20"/>
  <c r="R28" i="15"/>
  <c r="Q28" i="15"/>
  <c r="Q29" i="15"/>
  <c r="Q30" i="13"/>
  <c r="J91" i="1"/>
  <c r="J53" i="1"/>
  <c r="J41" i="1"/>
  <c r="D83" i="15"/>
  <c r="J60" i="1"/>
  <c r="D80" i="14"/>
  <c r="D81" i="18"/>
  <c r="J90" i="1"/>
  <c r="D32" i="1"/>
  <c r="J38" i="1"/>
  <c r="J81" i="1"/>
  <c r="J40" i="1"/>
  <c r="J72" i="1"/>
  <c r="J83" i="1"/>
  <c r="J71" i="1"/>
  <c r="J82" i="1"/>
  <c r="J76" i="1"/>
</calcChain>
</file>

<file path=xl/sharedStrings.xml><?xml version="1.0" encoding="utf-8"?>
<sst xmlns="http://schemas.openxmlformats.org/spreadsheetml/2006/main" count="7495" uniqueCount="5513">
  <si>
    <t>PREFA DACHSYSTEME</t>
  </si>
  <si>
    <t>RETOURNIERUNG PER FAX:</t>
  </si>
  <si>
    <t>ODER EMAIL:</t>
  </si>
  <si>
    <t>Firma / Besteller:</t>
  </si>
  <si>
    <t>Name:</t>
  </si>
  <si>
    <t>Straße:</t>
  </si>
  <si>
    <t>Ort:</t>
  </si>
  <si>
    <t>Lieferadresse:</t>
  </si>
  <si>
    <t>Ansprechpartner:</t>
  </si>
  <si>
    <t>Telefon:</t>
  </si>
  <si>
    <t>eMail:</t>
  </si>
  <si>
    <t>Datum:</t>
  </si>
  <si>
    <t>Kommission:</t>
  </si>
  <si>
    <t>Menge</t>
  </si>
  <si>
    <t>Einheit</t>
  </si>
  <si>
    <t>Bezeichnung</t>
  </si>
  <si>
    <t>VPE</t>
  </si>
  <si>
    <t>Abbildung</t>
  </si>
  <si>
    <t>Total</t>
  </si>
  <si>
    <t>Eventual</t>
  </si>
  <si>
    <t>lfm</t>
  </si>
  <si>
    <t>Karton</t>
  </si>
  <si>
    <t>kg</t>
  </si>
  <si>
    <t>PREFA Dachplatte (600 x 420 mm, 40 Stk./Kart.) inkl. Rillennägel (28/30) und Patenthafte</t>
  </si>
  <si>
    <t>PREFA Saumstreifen braun, vorgelocht (1.806x150x1,20 mm)</t>
  </si>
  <si>
    <t>PREFA Saumstreifen gerillt (für Abtreppung 600 x 150 mm)</t>
  </si>
  <si>
    <t>PREFA Patenthaft für Dachplatte und Dachschindel</t>
  </si>
  <si>
    <t>Haftemagazin zum Nachladen für Bull Tack Nagler
80 Stk/Haftemagazin, 30 Mag/Karton</t>
  </si>
  <si>
    <t>PREFA Lüftungsband</t>
  </si>
  <si>
    <t>PREFA Vogelschutzgitter braun/anthrazit (125x2.000x0,7mm)</t>
  </si>
  <si>
    <t>PREFA Ortgangstreifen (95 x 2.000 x 0,70 mm)</t>
  </si>
  <si>
    <t>PREFA Sicherheitskehle stucco (3.000 mm lang)</t>
  </si>
  <si>
    <t>PREFA Grat- und Firstreiter 500 x 1,00 mm stucco
inkl. Niro Schraube 4,5x45mm und Dichscheibe</t>
  </si>
  <si>
    <t>PREFA Grat-/Firstreiter Anfangs-/Endstück stucco</t>
  </si>
  <si>
    <t>PREFA Jet-Lüfter stucco (1.200mm) inkl. Niro Schr. u.Dichtsch.</t>
  </si>
  <si>
    <t>PREFA Jet-Lüfter stucco (3.000mm) inkl. Niro Schr. u.Dichtsch.</t>
  </si>
  <si>
    <t>PREFA Jet-Lüfter-Endstück stucco</t>
  </si>
  <si>
    <t>PREFA Froschmaulluken-Haube zum aufnieten glatt
Lüftungsquerschnitt ca. 30 cm²</t>
  </si>
  <si>
    <t>PREFA Froschmaulluke für Dachplatte 300x420 mm
Lüftungsquerschnitt ca. 30 cm²</t>
  </si>
  <si>
    <t>PREFA Dachluke (600x600 mm) komplett mit Holzrahmen</t>
  </si>
  <si>
    <t>PREFA Einfassung für Velux-Dachflächenfenster stucco</t>
  </si>
  <si>
    <t>PREFA Einfassung für Roto-Dachflächenfenster stucco</t>
  </si>
  <si>
    <t>Pkt</t>
  </si>
  <si>
    <t>Set</t>
  </si>
  <si>
    <t>Rolle</t>
  </si>
  <si>
    <t>PREFA Einzeltritt inkl. zwei Fußteilen</t>
  </si>
  <si>
    <t>PREFA Laufstegstütze verzinkt für Laufstege</t>
  </si>
  <si>
    <t>PREFA Laufsteg (250 x 1.200 mm)</t>
  </si>
  <si>
    <t>PREFA Laufsteg (250 x 800 mm)</t>
  </si>
  <si>
    <t>PREFA Laufsteg (250 x 600 mm)</t>
  </si>
  <si>
    <t>PREFA Laufsteg (250 x 420 mm)</t>
  </si>
  <si>
    <t>PREFALZ Ergänzungsband</t>
  </si>
  <si>
    <t>PREFA Verbinder verzinkt für Laufsteg</t>
  </si>
  <si>
    <t>PREFA Dach-Sicherheitshaken nach EN 517B auf Fussteilen</t>
  </si>
  <si>
    <t>PREFA Dach-Sicherheitshaken nach EN 517B</t>
  </si>
  <si>
    <t>PREFA Einfassungsplatte für Dachplatte, glatt, Ø 80 - 125 mm</t>
  </si>
  <si>
    <t>PREFA Universaleinfassung 2-teilig, glatt, Ø 40 - 120 mm</t>
  </si>
  <si>
    <t>PREFA Entlüftungshaube Ø 100, glatt</t>
  </si>
  <si>
    <t>PREFA Faltmanschette Ø 100-130</t>
  </si>
  <si>
    <t>PREFA Schneerechenhaken</t>
  </si>
  <si>
    <t>PREFA Rundstange (15 Ø x 3.000 mm) für Schneerechenhaken</t>
  </si>
  <si>
    <t>PREFA Abschluss für Schneerechen</t>
  </si>
  <si>
    <t>PREFA Schneerechensystem (205 x 66 x 303 mm)</t>
  </si>
  <si>
    <t>PREFA Schneerechensystem Einlegprofil (3.000 mm)</t>
  </si>
  <si>
    <t>PREFA Schneerechensystem Eiskralle</t>
  </si>
  <si>
    <t>PREFA Schneerechensystem Abschluss</t>
  </si>
  <si>
    <t>PREFA Gebirgsschneefangstütze</t>
  </si>
  <si>
    <t>PREFA Kaminhut 700 x 700 mm</t>
  </si>
  <si>
    <t>PREFA Kaminhut 800 x 800 mm</t>
  </si>
  <si>
    <t>PREFA Kaminhut 1.000 x 700 mm</t>
  </si>
  <si>
    <t>PREFA Kaminhut 1.100 x 800 mm</t>
  </si>
  <si>
    <t>PREFA Kaminhut 1.500 x 800 mm</t>
  </si>
  <si>
    <t>Kaminstrebe gebogen</t>
  </si>
  <si>
    <t>PREFA Flachprofil (35 x 7 x 3.000 mm)</t>
  </si>
  <si>
    <t>PREFA Hauerbuckel, zum Abdecken von Befestigungsmitteln</t>
  </si>
  <si>
    <t>PREFA Silikon Kartusche</t>
  </si>
  <si>
    <t>PREFA Spezialkleberset</t>
  </si>
  <si>
    <t>PREFA Rilleneisen</t>
  </si>
  <si>
    <t>PREFA Abspanneisen</t>
  </si>
  <si>
    <t>PREFA Lochblech DM 5 mm
ca. 24kg/Rolle (0,7x1.000 mm)</t>
  </si>
  <si>
    <t>Oberfläche:</t>
  </si>
  <si>
    <t>Farbe:</t>
  </si>
  <si>
    <t>m²</t>
  </si>
  <si>
    <t>auswählen</t>
  </si>
  <si>
    <t>stucco</t>
  </si>
  <si>
    <t>glatt</t>
  </si>
  <si>
    <t>STK</t>
  </si>
  <si>
    <t>pulverbeschichtet</t>
  </si>
  <si>
    <t>Sprache</t>
  </si>
  <si>
    <t>Farbe</t>
  </si>
  <si>
    <t>Länge 26 mm (3.200 Stk/Karton)</t>
  </si>
  <si>
    <t>Länge 35 mm (2.400 Stk/Karton)</t>
  </si>
  <si>
    <t>Länge 26 mm (3.200 Stk/Karton) NIRO</t>
  </si>
  <si>
    <t>PREFA Rillennagel verzinkt</t>
  </si>
  <si>
    <t>Nägel für Bull Tack Power Nagler</t>
  </si>
  <si>
    <t>28/25 (1 kg = ca. 570 St.)</t>
  </si>
  <si>
    <t>28/30 (1 kg = ca. 480 St.)</t>
  </si>
  <si>
    <t>28/40 (1 kg = ca. 380 St.)</t>
  </si>
  <si>
    <t>1x250 (A=140 B=85 C=25 mm)</t>
  </si>
  <si>
    <t>1x333 (A=223 B=85 C=25 mm)</t>
  </si>
  <si>
    <t>Niro-Schraube mit Dichtscheibe für Grat-/Firstreiter</t>
  </si>
  <si>
    <t>(4,5 x 45 mm, 250 Stk/Pkt)</t>
  </si>
  <si>
    <t>(4,5 x 45 mm, 250 Stk/Pkt, blank)</t>
  </si>
  <si>
    <t>(4,5 x 60 mm, 100 Stk/Pkt)</t>
  </si>
  <si>
    <t>(4,5 x 60 mm, 100 Stk/Pkt, blank)</t>
  </si>
  <si>
    <t>Niro-Schraube mit Dichtscheibe für Jet-Lüfter</t>
  </si>
  <si>
    <t>Maße:</t>
  </si>
  <si>
    <t>0,7 x 500 mm</t>
  </si>
  <si>
    <t>0,7 x 650 mm</t>
  </si>
  <si>
    <t>0,7 x 1.000 mm</t>
  </si>
  <si>
    <t>55 x 78 - CK02</t>
  </si>
  <si>
    <t>55 x 98 - CK04</t>
  </si>
  <si>
    <t>55 x 118 - CK06</t>
  </si>
  <si>
    <t>66 x 98 - FK04</t>
  </si>
  <si>
    <t>66 x 118 - FK06</t>
  </si>
  <si>
    <t>66 x 140 - FK08</t>
  </si>
  <si>
    <t>78 x 98 - MK04</t>
  </si>
  <si>
    <t>78 x 118 - MK06</t>
  </si>
  <si>
    <t>78 x 140 - MK08</t>
  </si>
  <si>
    <t>78 x 160 - MK10</t>
  </si>
  <si>
    <t>78 x 180 - MK12</t>
  </si>
  <si>
    <t>94 x 98 - PK04</t>
  </si>
  <si>
    <t>94 x 118 - PK06</t>
  </si>
  <si>
    <t>94 x 140 - PK08</t>
  </si>
  <si>
    <t>94 x 160 - PK10</t>
  </si>
  <si>
    <t>114 x 118 - SK06</t>
  </si>
  <si>
    <t>114 x 140 - SK08</t>
  </si>
  <si>
    <t>114 x 160 - SK10</t>
  </si>
  <si>
    <t>134 x 98 - UK04</t>
  </si>
  <si>
    <t>134 x 140 - UK08</t>
  </si>
  <si>
    <t>134 x 160 - UK10</t>
  </si>
  <si>
    <t>MIT Wärmedämmung</t>
  </si>
  <si>
    <t>54 x 78 - 05/07_WD</t>
  </si>
  <si>
    <t>54 x 98 - 05/09_WD</t>
  </si>
  <si>
    <t>54 x 118 - 05/11_WD</t>
  </si>
  <si>
    <t>65 x 98 - 06/09_WD</t>
  </si>
  <si>
    <t>65 x 118 - 06/11_WD</t>
  </si>
  <si>
    <t>65 x 140 - 06/14_WD</t>
  </si>
  <si>
    <t>74 x 78 - 07/07_WD</t>
  </si>
  <si>
    <t>74 x 98 - 07/09_WD</t>
  </si>
  <si>
    <t>74 x 118 - 07/11_WD</t>
  </si>
  <si>
    <t>74 x 140 - 07/14_WD</t>
  </si>
  <si>
    <t>74 x 160 - 07/16_WD</t>
  </si>
  <si>
    <t>94 x 78 - 09/07_WD</t>
  </si>
  <si>
    <t>94 x 98 - 09/09_WD</t>
  </si>
  <si>
    <t>94 x 118 - 09/11_WD</t>
  </si>
  <si>
    <t>94 x 140 - 09/14_WD</t>
  </si>
  <si>
    <t>94 x 160 - 09/16_WD</t>
  </si>
  <si>
    <t>114 x 78 - 11/07_WD</t>
  </si>
  <si>
    <t>114 x 98 - 11/09_WD</t>
  </si>
  <si>
    <t>114 x 118 - 11/11_WD</t>
  </si>
  <si>
    <t>114 x 140 - 11/14_WD</t>
  </si>
  <si>
    <t>114 x 160 - 11/16_WD</t>
  </si>
  <si>
    <t>134 x 78 - 13/07_WD</t>
  </si>
  <si>
    <t>134 x 98 - 13/09_WD</t>
  </si>
  <si>
    <t>134 x 140 - 13/14_WD</t>
  </si>
  <si>
    <t>Q55 x 78_WD</t>
  </si>
  <si>
    <t>Q78 x 98_WD</t>
  </si>
  <si>
    <t>Q78 x 118_WD</t>
  </si>
  <si>
    <t>Q94 x 140_WD</t>
  </si>
  <si>
    <t>Q114 x 118_WD</t>
  </si>
  <si>
    <t>Q134 x 160_WD</t>
  </si>
  <si>
    <t>OHNE Wärmedämmung</t>
  </si>
  <si>
    <t>54 x 78 - 05/07_OWD</t>
  </si>
  <si>
    <t>54 x 98 - 05/09_OWD</t>
  </si>
  <si>
    <t>54 x 118 - 05/11_OWD</t>
  </si>
  <si>
    <t>65 x 98 - 06/09_OWD</t>
  </si>
  <si>
    <t>65 x 118 - 06/11_OWD</t>
  </si>
  <si>
    <t>65 x 140 - 06/14_OWD</t>
  </si>
  <si>
    <t>74 x 78 - 07/07_OWD</t>
  </si>
  <si>
    <t>74 x 98 - 07/09_OWD</t>
  </si>
  <si>
    <t>74 x 118 - 07/11_OWD</t>
  </si>
  <si>
    <t>74 x 140 - 07/14_OWD</t>
  </si>
  <si>
    <t>74 x 160 - 07/16_OWD</t>
  </si>
  <si>
    <t>94 x 78 - 09/07_OWD</t>
  </si>
  <si>
    <t>94 x 98 - 09/09_OWD</t>
  </si>
  <si>
    <t>94 x 118 - 09/11_OWD</t>
  </si>
  <si>
    <t>94 x 140 - 09/14_OWD</t>
  </si>
  <si>
    <t>94 x 160 - 09/16_OWD</t>
  </si>
  <si>
    <t>114 x 78 - 11/07_OWD</t>
  </si>
  <si>
    <t>114 x 98 - 11/09_OWD</t>
  </si>
  <si>
    <t>114 x 118 - 11/11_OWD</t>
  </si>
  <si>
    <t>114 x 140 - 11/14_OWD</t>
  </si>
  <si>
    <t>114 x 160 - 11/16_OWD</t>
  </si>
  <si>
    <t>134 x 78 - 13/07_OWD</t>
  </si>
  <si>
    <t>134 x 98 - 13/09_OWD</t>
  </si>
  <si>
    <t>134 x 140 - 13/14_OWD</t>
  </si>
  <si>
    <t>Q55 x 78_OWD</t>
  </si>
  <si>
    <t>Q78 x 98_OWD</t>
  </si>
  <si>
    <t>Q78 x 118_OWD</t>
  </si>
  <si>
    <t>Q94 x 140_OWD</t>
  </si>
  <si>
    <t>Q114 x 118_OWD</t>
  </si>
  <si>
    <t>Q134 x 160_OWD</t>
  </si>
  <si>
    <t>moosgrün/hellgrau</t>
  </si>
  <si>
    <t>braun/anthrazit</t>
  </si>
  <si>
    <t>ziegelrot/oxydrot</t>
  </si>
  <si>
    <t>prefaweiß/prefaweiß</t>
  </si>
  <si>
    <t>Rollen</t>
  </si>
  <si>
    <t>Zusatzvermerk:</t>
  </si>
  <si>
    <t>Vielen Dank für Ihre Bestellung</t>
  </si>
  <si>
    <t>Vielen Dank für Ihre Mengenermittlung</t>
  </si>
  <si>
    <t>Filter:</t>
  </si>
  <si>
    <t>Service:</t>
  </si>
  <si>
    <t>Mengen in:</t>
  </si>
  <si>
    <t>hellgrau/hellgrau</t>
  </si>
  <si>
    <t>Anwendungstechnik</t>
  </si>
  <si>
    <t>Stand:</t>
  </si>
  <si>
    <t>Bestellung</t>
  </si>
  <si>
    <t>Mengenermittlung/Anfrage</t>
  </si>
  <si>
    <t>Service:_CZ</t>
  </si>
  <si>
    <t>Language</t>
  </si>
  <si>
    <t>Langue</t>
  </si>
  <si>
    <t>PREFA ROOF SYSTEMS</t>
  </si>
  <si>
    <t>TOITURES PREFA</t>
  </si>
  <si>
    <t>RETURN BY FAX:</t>
  </si>
  <si>
    <t>OR EMAIL:</t>
  </si>
  <si>
    <t>OU PAR COURRIEL :</t>
  </si>
  <si>
    <t>Date:</t>
  </si>
  <si>
    <t>Date :</t>
  </si>
  <si>
    <t>Company / Purchaser:</t>
  </si>
  <si>
    <t>Entreprise / Acheteur :</t>
  </si>
  <si>
    <t>Nom :</t>
  </si>
  <si>
    <t>Street:</t>
  </si>
  <si>
    <t>Adresse :</t>
  </si>
  <si>
    <t>City:</t>
  </si>
  <si>
    <t>Ville :</t>
  </si>
  <si>
    <t>Contact:</t>
  </si>
  <si>
    <t>Interlocuteur :</t>
  </si>
  <si>
    <t>Phone:</t>
  </si>
  <si>
    <t>Téléphone :</t>
  </si>
  <si>
    <t>Email:</t>
  </si>
  <si>
    <t>Courriel :</t>
  </si>
  <si>
    <t>Delivery address:</t>
  </si>
  <si>
    <t>Adresse de livraison :</t>
  </si>
  <si>
    <t>Order:</t>
  </si>
  <si>
    <t>Commande :</t>
  </si>
  <si>
    <t>Surface:</t>
  </si>
  <si>
    <t>Surface :</t>
  </si>
  <si>
    <t>smooth</t>
  </si>
  <si>
    <t>lisse</t>
  </si>
  <si>
    <t>Quantities in:</t>
  </si>
  <si>
    <t>Quantités en :</t>
  </si>
  <si>
    <t>PU</t>
  </si>
  <si>
    <t>UE</t>
  </si>
  <si>
    <t>pc.</t>
  </si>
  <si>
    <t>Colour:</t>
  </si>
  <si>
    <t>powder-coated</t>
  </si>
  <si>
    <t>thermolaqué</t>
  </si>
  <si>
    <t>Colour</t>
  </si>
  <si>
    <t>Couleur</t>
  </si>
  <si>
    <t>Quantity</t>
  </si>
  <si>
    <t>Quantité</t>
  </si>
  <si>
    <t>Unit</t>
  </si>
  <si>
    <t>Unité</t>
  </si>
  <si>
    <t>Picture</t>
  </si>
  <si>
    <t>Illustration</t>
  </si>
  <si>
    <t>Name</t>
  </si>
  <si>
    <t>Désignation</t>
  </si>
  <si>
    <t>Optionally</t>
  </si>
  <si>
    <t>Éventuellement</t>
  </si>
  <si>
    <t>m</t>
  </si>
  <si>
    <t>box</t>
  </si>
  <si>
    <t>carton</t>
  </si>
  <si>
    <t>package</t>
  </si>
  <si>
    <t>paquet</t>
  </si>
  <si>
    <t>kit</t>
  </si>
  <si>
    <t>roll</t>
  </si>
  <si>
    <t>bobine</t>
  </si>
  <si>
    <t>rolls</t>
  </si>
  <si>
    <t>bobines</t>
  </si>
  <si>
    <t>Additional remarks:</t>
  </si>
  <si>
    <t>Indications complémentaires :</t>
  </si>
  <si>
    <t>PREFA roof tile (600 × 420 mm, 40 pc./box), including ring nails (28/30) and patent clips</t>
  </si>
  <si>
    <t>Tuile (600 × 420 mm, 40 par carton), avec clous annelés (28/30) et pattes brevetées</t>
  </si>
  <si>
    <t>PREFA edge cleat strip, brown, pre-drilled (1,806 × 150 × 1.20 mm)</t>
  </si>
  <si>
    <t>Bande de départ; couleur : brun; préperforée (1 806 × 150 × 1,20 mm)</t>
  </si>
  <si>
    <t>PREFA edge cleat strip, grooved (for step work; 600 × 150 mm)</t>
  </si>
  <si>
    <t>Bande de départ, rainurée (pour décrochements ; 600 × 150 mm)</t>
  </si>
  <si>
    <t>PREFA patent clip for roof tile and shingle</t>
  </si>
  <si>
    <t>Patte brevetée pour tuiles et et bardeaux</t>
  </si>
  <si>
    <t>clip magazine for reloading the Bull Tack Power nail gun
80 clips per magazine, 30 magazines per box</t>
  </si>
  <si>
    <t>Chargeur de pattes de fixation, pour remplir le chargeur de la cloueuse Bull Tack
80 pattes par chargeur ; 30 chargeurs par carton</t>
  </si>
  <si>
    <t>select</t>
  </si>
  <si>
    <t>sélectionner</t>
  </si>
  <si>
    <t>Filtre :</t>
  </si>
  <si>
    <t>Order</t>
  </si>
  <si>
    <t>Commande</t>
  </si>
  <si>
    <t>Service :</t>
  </si>
  <si>
    <t>Thank you for indicating the quantity required</t>
  </si>
  <si>
    <t>Merci d’avoir indiqué les quantités requises.</t>
  </si>
  <si>
    <t>Thank you for your order.</t>
  </si>
  <si>
    <t>Merci pour votre commande.</t>
  </si>
  <si>
    <t>PREFA ring nails, galvanised</t>
  </si>
  <si>
    <t>Clou annelé, galvanisé</t>
  </si>
  <si>
    <t>28/25 (1 kg = approx. 570 pc.)</t>
  </si>
  <si>
    <t>28/25 (1 kg = env. 570)</t>
  </si>
  <si>
    <t>28/30 (1 kg = approx. 480 pc.)</t>
  </si>
  <si>
    <t>28/30 (1 kg = env. 480)</t>
  </si>
  <si>
    <t>28/40 (1 kg = approx. 380 pc.)</t>
  </si>
  <si>
    <t>28/40 (1 kg = env. 380)</t>
  </si>
  <si>
    <t>Nails for Bull Tack Power nail gun</t>
  </si>
  <si>
    <t>Clou pour cloueuse Bull Tack Power</t>
  </si>
  <si>
    <t>Length: 26 mm (3,200 pc./box)</t>
  </si>
  <si>
    <t>Longueur : 26 mm (3 200 par carton)</t>
  </si>
  <si>
    <t>Length: 35 mm (2,400 pc./box)</t>
  </si>
  <si>
    <t>Longueur : 35 mm (2 400 par carton)</t>
  </si>
  <si>
    <t>Length: 26 mm (3,200 pc./box), stainless steel</t>
  </si>
  <si>
    <t>Longueur : 26 mm (3 200 par carton), inox</t>
  </si>
  <si>
    <t>PREFA eaves apron, smooth (230 × 2,000 × 0.7 mm)</t>
  </si>
  <si>
    <t>Solin de finition, lisse (230 × 2 000 × 0,7 mm)</t>
  </si>
  <si>
    <t>PREFA ventilation screen</t>
  </si>
  <si>
    <t>Bavette ventilée</t>
  </si>
  <si>
    <t>1 × 250 (A = 140; B = 85; C = 25 mm)</t>
  </si>
  <si>
    <t>1 × 333 (A = 223; B = 85; C = 25 mm)</t>
  </si>
  <si>
    <t>PREFA bird screen, brown/anthracite (125 × 2,000 × 0.7 mm)</t>
  </si>
  <si>
    <t>PREFA grille anti-insectes, brun/anthracite (125 × 2 000 × 0,7 mm)</t>
  </si>
  <si>
    <t>PREFA verge flashing (95 × 2,000 × 0.70 mm)</t>
  </si>
  <si>
    <t>Bande de rive (95 × 2 000 × 0,70 mm)</t>
  </si>
  <si>
    <t>PREFA safety valley, stucco (length: 3,000 mm)</t>
  </si>
  <si>
    <t>Noue de sécurité, stucco (longueur : 3 000 mm)</t>
  </si>
  <si>
    <t>PREFA hip and ridge cap (500 × 1.00 mm), stucco
including stainless steel screw (4.5 × 45 mm) and sealing washer</t>
  </si>
  <si>
    <t>Faîtière et arêtier (500 × 1,00 mm), stucco
fournis avec vis en acier inoxydable (4,5 × 45 mm) et rondelle d’étanchéité</t>
  </si>
  <si>
    <t>PREFA hip and ridge cap, end piece, stucco</t>
  </si>
  <si>
    <t>About de faîtière / d’arêtier, stucco</t>
  </si>
  <si>
    <t>PREFA ridge vent, stucco (1,200 mm), including stainless steel screw and sealing washer</t>
  </si>
  <si>
    <t>Faîtière ventilée, stucco (1 200 mm), fournie avec vis en acier inoxydable et rondelle d’étanchéité</t>
  </si>
  <si>
    <t>PREFA ridge vent, stucco (3,000 mm), including stainless steel screw and sealing washer</t>
  </si>
  <si>
    <t>Faîtière ventilée, stucco (3 000 mm), fournie avec vis en acier inoxydable et rondelle d’étanchéité</t>
  </si>
  <si>
    <t>PREFA ridge vent end piece, stucco</t>
  </si>
  <si>
    <t>About de faîtière ventilée, stucco</t>
  </si>
  <si>
    <t>stainless steel screw and sealing washer for hip and ridge cap</t>
  </si>
  <si>
    <t>Vis en acier inoxydable et rondelle d’étanchéité pour faîtières et arêtiers</t>
  </si>
  <si>
    <t>stainless steel screw and sealing washer for ridge vent</t>
  </si>
  <si>
    <t>Vis en acier inoxydable et rondelle d’étanchéité pour faîtières ventilées</t>
  </si>
  <si>
    <t>(4.5 × 45 mm, 250 pc./package)</t>
  </si>
  <si>
    <t>(4,5 × 45 mm, 250 par paquet)</t>
  </si>
  <si>
    <t>(4.5 × 45 mm, 250 pc./package, uncoated)</t>
  </si>
  <si>
    <t>(4,5 × 45 mm, 250 par paquet, aluminium naturel)</t>
  </si>
  <si>
    <t>(4.5 × 60 mm, 100 pc./package)</t>
  </si>
  <si>
    <t>(4,5 × 60 mm, 100 par paquet)</t>
  </si>
  <si>
    <t>(4.5 × 60 mm, 100 pc./package, uncoated)</t>
  </si>
  <si>
    <t>(4,5 × 60 mm, 100 par paquet, aluminium naturel)</t>
  </si>
  <si>
    <t>PREFA frog-mouth vent cover, for riveting, smooth
air intake section: approx. 30 cm²</t>
  </si>
  <si>
    <t>Chapeau de raccordement pour chatière, lisse, à riveter
Section d’aération : env. 30 cm²</t>
  </si>
  <si>
    <t>PREFA frog-mouth vent for roof tile (300 × 420 mm)
air intake section: approx. 30 cm²</t>
  </si>
  <si>
    <t>Chatière pour tuiles (300 × 420 mm)
Section d’aération : env. 30 cm²</t>
  </si>
  <si>
    <t>PREFA roof hatch (600 × 600 mm); complete with wooden frame</t>
  </si>
  <si>
    <t>Tabatière (600 × 600 mm) ; avec cadre en bois</t>
  </si>
  <si>
    <t>PREFA flashing for Velux roof windows; stucco</t>
  </si>
  <si>
    <t>Raccordement pour fenêtres de toit Velux, stucco</t>
  </si>
  <si>
    <t>PREFA flashing for Roto roof windows; stucco</t>
  </si>
  <si>
    <t>Raccordement pour fenêtres de toit Roto, stucco</t>
  </si>
  <si>
    <t>PREFA safety tread, including two mounts</t>
  </si>
  <si>
    <t>Marche de toit, fournie avec deux platines</t>
  </si>
  <si>
    <t>PREFA walkway support (galvanised); for walkways</t>
  </si>
  <si>
    <t>Support de chemin de circulation (galvanisé) ; pour chemins de circulation</t>
  </si>
  <si>
    <t>PREFA walkway ( 250 × 1,200 mm)</t>
  </si>
  <si>
    <t>Chemin de circulation (250 × 1 200 mm)</t>
  </si>
  <si>
    <t>PREFA walkway ( 250 × 800 mm)</t>
  </si>
  <si>
    <t>Chemin de circulation (250 × 800 mm)</t>
  </si>
  <si>
    <t>PREFA walkway ( 250 × 600 mm)</t>
  </si>
  <si>
    <t>Chemin de circulation (250 × 600 mm)</t>
  </si>
  <si>
    <t>PREFA walkway ( 250 × 420 mm)</t>
  </si>
  <si>
    <t>Chemin de circulation (250 × 420 mm)</t>
  </si>
  <si>
    <t>PREFALZ flashing strip</t>
  </si>
  <si>
    <t>Bande complémentaire</t>
  </si>
  <si>
    <t>0.7 × 500 mm</t>
  </si>
  <si>
    <t>0,7 × 500 mm</t>
  </si>
  <si>
    <t>0.7 × 650 mm</t>
  </si>
  <si>
    <t>0,7 × 650 mm</t>
  </si>
  <si>
    <t>0.7 × 1,000 mm</t>
  </si>
  <si>
    <t>0,7 × 1 000 mm</t>
  </si>
  <si>
    <t>PREFA connector (galvanised); for walkways</t>
  </si>
  <si>
    <t>Élément d’assemblage (galvanisé) ; pour chemin de circulation</t>
  </si>
  <si>
    <t>PREFA roof anchor hook according to EN 517 B (on mounts)</t>
  </si>
  <si>
    <t>Crochet de sécurité (conforme à la norme EN 517 B) ; monté sur platines</t>
  </si>
  <si>
    <t>PREFA roof anchor hook according to EN 517 B</t>
  </si>
  <si>
    <t>Crochet de sécurité (conforme à la norme EN 517 B)</t>
  </si>
  <si>
    <t>PREFA flashing plate for roof tile, smooth, Ø 80–125 mm</t>
  </si>
  <si>
    <t>Raccordement de ventilation pour tuiles, lisse, Ø 80-125 mm</t>
  </si>
  <si>
    <t>PREFA universal flashing, 2 parts, smooth, Ø 40–120 mm</t>
  </si>
  <si>
    <t>Raccordement universel, deux éléments, lisse, Ø 40-120 mm</t>
  </si>
  <si>
    <t>WITH thermal insulation</t>
  </si>
  <si>
    <t>AVEC isolation thermique</t>
  </si>
  <si>
    <t>WITHOUT thermal insulation</t>
  </si>
  <si>
    <t>SANS isolation thermique</t>
  </si>
  <si>
    <t>Dimensions:</t>
  </si>
  <si>
    <t>moss green/light grey</t>
  </si>
  <si>
    <t>vert mousse/gris souris</t>
  </si>
  <si>
    <t>brown/anthracite</t>
  </si>
  <si>
    <t>brun/anthracite</t>
  </si>
  <si>
    <t>brick red/oxide red</t>
  </si>
  <si>
    <t>rouge tuile/rouge oxyde</t>
  </si>
  <si>
    <t>prefa white/prefa white</t>
  </si>
  <si>
    <t>blanc prefa/blanc prefa</t>
  </si>
  <si>
    <t>PREFA ventilation cap (Ø 100), smooth</t>
  </si>
  <si>
    <t>Raccordement d’aération (Ø 100), lisse</t>
  </si>
  <si>
    <t>PREFA vent pipe (Ø 100), suitable for high-temperature pipe (nominal size 110)</t>
  </si>
  <si>
    <t>PREFA vent pipe (Ø 120), suitable for high-temperature pipe (nominal size 125)</t>
  </si>
  <si>
    <t>PREFA flexible pipe collar (Ø 100–130)</t>
  </si>
  <si>
    <t>Soufflet plissé (Ø 100-130)</t>
  </si>
  <si>
    <t>PREFA snow guard for roof tile and rhomboid roof tile 29 × 29</t>
  </si>
  <si>
    <t>Arrêt de neige pour tuiles et losanges de toiture 29 × 29</t>
  </si>
  <si>
    <t>PREFA pipe-style snow guard bracket</t>
  </si>
  <si>
    <t>Crochet pour tubes pare-neige</t>
  </si>
  <si>
    <t>PREFA pipe (Ø 15 × 3,000 mm) for pipe-style snow guard brackets</t>
  </si>
  <si>
    <t>Tube pare-neige (Ø 15 × 3 000 mm) ; pour les crochets pour tubes pare-neige</t>
  </si>
  <si>
    <t>PREFA end piece for pipe-style snow guard</t>
  </si>
  <si>
    <t>Embout pour tubes pare-neige</t>
  </si>
  <si>
    <t>PREFA pipe-style snow guard system (205 × 66 × 303 mm)</t>
  </si>
  <si>
    <t>Système pare-neige (205 × 66 × 303 mm)</t>
  </si>
  <si>
    <t>PREFA removable pipe for pipe-style snow guard system (3,000 mm)</t>
  </si>
  <si>
    <t>Barre pour système pare-neige (3 000 mm)</t>
  </si>
  <si>
    <t>PREFA ice-retention bracket for pipe-style snow guard system</t>
  </si>
  <si>
    <t>Arrêt-glace pour système pare-neige</t>
  </si>
  <si>
    <t>PREFA end piece for pipe-style snow guard system</t>
  </si>
  <si>
    <t>Embout de système pare-neige</t>
  </si>
  <si>
    <t>PREFA mountain snow-guard bracket</t>
  </si>
  <si>
    <t>Support de pare-neige pour rondins</t>
  </si>
  <si>
    <t>PREFA chimney cap ( 700 × 700 mm)</t>
  </si>
  <si>
    <t>Chapeau de cheminée (700 × 700 mm)</t>
  </si>
  <si>
    <t>PREFA chimney cap ( 800 × 800 mm)</t>
  </si>
  <si>
    <t>Chapeau de cheminée (800 × 800 mm)</t>
  </si>
  <si>
    <t>PREFA chimney cap ( 1,000 × 700 mm)</t>
  </si>
  <si>
    <t>Chapeau de cheminée (1 000 × 700 mm)</t>
  </si>
  <si>
    <t>PREFA chimney cap ( 1,100 × 800 mm)</t>
  </si>
  <si>
    <t>Chapeau de cheminée (1 100 × 800 mm)</t>
  </si>
  <si>
    <t>PREFA chimney cap ( 1,500 × 800 mm)</t>
  </si>
  <si>
    <t>Chapeau de cheminée (1 500 × 800 mm)</t>
  </si>
  <si>
    <t>chimney cap leg, bent</t>
  </si>
  <si>
    <t>Pied de chapeau de cheminée (incurvé)</t>
  </si>
  <si>
    <t>PREFA flat profile (35 × 7 × 3,000 mm)</t>
  </si>
  <si>
    <t>Profil plat (35 × 7 × 3 000 mm)</t>
  </si>
  <si>
    <t>PREFA domed cap, for covering fasteners</t>
  </si>
  <si>
    <t>Capuchon de protection, protection anticorrosion pour les éléments de fixation (vis, etc.)</t>
  </si>
  <si>
    <t>PREFA silicone cartridge</t>
  </si>
  <si>
    <t>Cartouche de silicone</t>
  </si>
  <si>
    <t>PREFA special adhesive kit</t>
  </si>
  <si>
    <t>Kit d’assemblage</t>
  </si>
  <si>
    <t>PREFA rib tool</t>
  </si>
  <si>
    <t>Outil de façonnage des sillons</t>
  </si>
  <si>
    <t>PREFA bending tool</t>
  </si>
  <si>
    <t>Outil de serrage des sillons</t>
  </si>
  <si>
    <t>PREFA perforated plate (Ø 5 mm)
approx. 24 kg/roll (0.7 × 1,000 mm)</t>
  </si>
  <si>
    <t>Bande d’aluminium perforée (Ø 5 mm)
env. 24 kg/bobine (0,7 × 1 000 mm)</t>
  </si>
  <si>
    <t>light grey/light grey</t>
  </si>
  <si>
    <t>gris souris/gris souris</t>
  </si>
  <si>
    <t>Application technology</t>
  </si>
  <si>
    <t>Service technique</t>
  </si>
  <si>
    <t>Version:</t>
  </si>
  <si>
    <t>Version :</t>
  </si>
  <si>
    <t>Lingua</t>
  </si>
  <si>
    <t>COPERTURA PREFA</t>
  </si>
  <si>
    <t>RESTITUIRE PER FAX:</t>
  </si>
  <si>
    <t>O PER EMAIL:</t>
  </si>
  <si>
    <t>Data:</t>
  </si>
  <si>
    <t>Installatore / Committente:</t>
  </si>
  <si>
    <t>Nome:</t>
  </si>
  <si>
    <t>Via:</t>
  </si>
  <si>
    <t>Località:</t>
  </si>
  <si>
    <t>Referente:</t>
  </si>
  <si>
    <t>Telefono:</t>
  </si>
  <si>
    <t>email:</t>
  </si>
  <si>
    <t>Indirizzo di consegna:</t>
  </si>
  <si>
    <t>Riferimento:</t>
  </si>
  <si>
    <t>Finitura superficiale:</t>
  </si>
  <si>
    <t>goffrata</t>
  </si>
  <si>
    <t>liscia</t>
  </si>
  <si>
    <t>Quantità espresse in:</t>
  </si>
  <si>
    <t>Confezione</t>
  </si>
  <si>
    <t>Pezzi</t>
  </si>
  <si>
    <t>Colore:</t>
  </si>
  <si>
    <t>Verniciato a polvere</t>
  </si>
  <si>
    <t>Colore</t>
  </si>
  <si>
    <t>Quantità</t>
  </si>
  <si>
    <t>UDM</t>
  </si>
  <si>
    <t>Figura</t>
  </si>
  <si>
    <t>Descrizione</t>
  </si>
  <si>
    <t>Totale</t>
  </si>
  <si>
    <t>Eventuale</t>
  </si>
  <si>
    <t>Pz</t>
  </si>
  <si>
    <t>Cartone</t>
  </si>
  <si>
    <t>Kg</t>
  </si>
  <si>
    <t>CF</t>
  </si>
  <si>
    <t>Kit</t>
  </si>
  <si>
    <t>Rotolo</t>
  </si>
  <si>
    <t>Rotoli</t>
  </si>
  <si>
    <t>Annotazioni</t>
  </si>
  <si>
    <t>PREFA Tegola (600 x 420 mm, 40 pz./cart.) incl. chiodi zigrinati (28/30) e graffette</t>
  </si>
  <si>
    <t>PREFA Grondalina di partenza, marrone, preforata (1.806x150x1,20 mm)</t>
  </si>
  <si>
    <t>PREFA Grondalina di ripartenza, con scanalatura (per terrazzamenti, 600 x 150 mm)</t>
  </si>
  <si>
    <t>PREFA Graffetta per Tegole e Scandole</t>
  </si>
  <si>
    <t>Caricatore di graffette per sparachiodi Bull Tack
80 Stk/Haftemagazin, 30 Mag/Karton_IT</t>
  </si>
  <si>
    <t>selezionare</t>
  </si>
  <si>
    <t>Distinta materiali/Richiesta offerta</t>
  </si>
  <si>
    <t>Filtro</t>
  </si>
  <si>
    <t>Ordine</t>
  </si>
  <si>
    <t>Servizio richiesto:</t>
  </si>
  <si>
    <t>Grazie per la Vostra richiesta</t>
  </si>
  <si>
    <t>Grazie per il Vostro ordine</t>
  </si>
  <si>
    <t>PREFA Chiodo zigrinato zincato</t>
  </si>
  <si>
    <t>28/25 (1 Kg = ca. 570 Pz.)</t>
  </si>
  <si>
    <t>28/30 (1 Kg = ca. 480 Pz.)</t>
  </si>
  <si>
    <t>28/40 (1 Kg = ca. 380 Pz.)</t>
  </si>
  <si>
    <t>Chiodi per sparachiodi Bull Tack Power</t>
  </si>
  <si>
    <t>Lunghezza 26 mm (3.200 Pz/Cartone)</t>
  </si>
  <si>
    <t>Lunghezza 35 mm (2.400 Pz/Cartone)</t>
  </si>
  <si>
    <t>Lunghezza 26 mm (3.200 Pz/Cartone) in acciaio inox</t>
  </si>
  <si>
    <t>PREFA Lamiera forata di ventilazione</t>
  </si>
  <si>
    <t>PREFA Lamiera forata anti volatile marrone/antracite (125x2.000x0,7mm)</t>
  </si>
  <si>
    <t>PREFA Mantovana (95 x 2.000 x 0,70 mm)</t>
  </si>
  <si>
    <t>PREFA Compluvio con ripiega di sicurezza, goffrato (l= 3.000 mm)</t>
  </si>
  <si>
    <t>PREFA Copricolmo/Displuvio 500 x 1,00 mm, goffrato.
Incl.  Vite inox 4,5x45mm rondella di tenuta</t>
  </si>
  <si>
    <t>PREFA Testata per copricolmo/Displuvio, goffrata</t>
  </si>
  <si>
    <t>PREFA Copricolmo ventilato (1.200mm) incl. vite inox e rondella di tenuta</t>
  </si>
  <si>
    <t>PREFA Copricolmo ventilato (3000mm) incl. vite inox e rondella di tenuta</t>
  </si>
  <si>
    <t>PREFA Testata per copricolmo ventilato, goffrata</t>
  </si>
  <si>
    <t>Vite inox con rondella di tenuta per copricolmo/displuvio</t>
  </si>
  <si>
    <t>Vite inox con rondella di tenuta per copricolmo ventilato</t>
  </si>
  <si>
    <t>(4,5 x 45 mm, 250 Pz/CF)</t>
  </si>
  <si>
    <t>(4,5 x 45 mm, 250 Pz/CF, naturale)</t>
  </si>
  <si>
    <t>(4,5 x 60 mm, 100 Pz/CF)</t>
  </si>
  <si>
    <t>(4,5 x 60 mm, 100 Pz/CF, naturale)</t>
  </si>
  <si>
    <t>PREFA Bocchetta per aerazione, da rivettare, finitura liscia
Sezione di ventilazione ca. 30 cm²</t>
  </si>
  <si>
    <t>PREFA Tegola con bocchetta per aerazione 300x420 mm
Sezione di ventilazione ca. 30 cm²</t>
  </si>
  <si>
    <t>PREFA Passo uomo (600x600 mm) completo di telaio in legno</t>
  </si>
  <si>
    <t>PREFA Conversa per lucernari Velux, goffrata</t>
  </si>
  <si>
    <t>PREFA Conversa per lucernari Roto, goffrata</t>
  </si>
  <si>
    <t>PREFA Gradino singolo, incluse le due basi d'appoggio</t>
  </si>
  <si>
    <t>PREFA Staffa per griglia pedonabile</t>
  </si>
  <si>
    <t>PREFA Griglia pedonabile (250 x 1.200 mm)</t>
  </si>
  <si>
    <t>PREFA Griglia pedonabile (250 x 800 mm)</t>
  </si>
  <si>
    <t>PREFA Griglia pedonabile (250 x 600 mm)</t>
  </si>
  <si>
    <t>PREFA Griglia pedonabile (250 x 420 mm)</t>
  </si>
  <si>
    <t>PREFALZ Nastro di complemento</t>
  </si>
  <si>
    <t>PREFA Giunto zincato per griglia pedonabile</t>
  </si>
  <si>
    <t>PREFA Staffa anticaduta conforme EN 517B su basi di fissaggio</t>
  </si>
  <si>
    <t>PREFA Staffa anticaduta conforme EN 517B</t>
  </si>
  <si>
    <t>PREFAConversa di ventilazione per Tegole, liscia, per tubi Ø 80 - 125 mm</t>
  </si>
  <si>
    <t>PREFA Conversa universale, 2pezzi, liscia, per tubi Ø 40 - 120 mm</t>
  </si>
  <si>
    <t>CON isolante termico</t>
  </si>
  <si>
    <t>SENZA isolante termico</t>
  </si>
  <si>
    <t>Dimensioni</t>
  </si>
  <si>
    <t>verde muschio/grigio chiaro</t>
  </si>
  <si>
    <t>marrone/antracite</t>
  </si>
  <si>
    <t>rosso cotto/rosso ossido</t>
  </si>
  <si>
    <t>bianco prefa/bianco prefa</t>
  </si>
  <si>
    <t>PREFA Calotta di aerazione Ø 100, liscia</t>
  </si>
  <si>
    <t>PREFA Tubo torretta aerazione Ø 100, adatto a tubo HT DN 110</t>
  </si>
  <si>
    <t>PREFA Tubo torretta aerazione Ø 120, adatto a tubo HT DN 125</t>
  </si>
  <si>
    <t>PREFA Guarnizione per fori passanti Ø 100-130</t>
  </si>
  <si>
    <t>PREFA Nasi fermaneve per Tegola e Scaglia 29</t>
  </si>
  <si>
    <t>PREFA Staffa fermaneve</t>
  </si>
  <si>
    <t>PREFA Tubo fermaneve (Ø15 x 3.000 mm) per Staffa fermaneve</t>
  </si>
  <si>
    <t>PREFA Testata per tubi fermaneve</t>
  </si>
  <si>
    <t>PREFA Staffa fermaneve a triplo tubolare esagonale (205 x 66 x 303 mm)</t>
  </si>
  <si>
    <t>PREFA Tubolare fermaneve a sezione esagonale (3.000 mm)</t>
  </si>
  <si>
    <t>PREFA Artigio rompighiaggio per tubolare fermaneve</t>
  </si>
  <si>
    <t>PREFA Testata per tubolare fermaneve</t>
  </si>
  <si>
    <t>PREFA Staffa fermaneve per legno tondo</t>
  </si>
  <si>
    <t>PREFA Cappello camino 700 x 700 mm</t>
  </si>
  <si>
    <t>PREFA Cappello camino 800 x 800 mm</t>
  </si>
  <si>
    <t>PREFA Cappello camino 1.000 x 700 mm</t>
  </si>
  <si>
    <t>PREFA Cappello camino 1.100 x 800 mm</t>
  </si>
  <si>
    <t>PREFA Cappello camino 1.500 x 800 mm</t>
  </si>
  <si>
    <t>Staffa cappello camino</t>
  </si>
  <si>
    <t>PREFA Profilo piatto (35 x 7 x 3.000 mm)</t>
  </si>
  <si>
    <t>PREFA Borchia coprivite, per mascherare le teste delle viti di fissaggio</t>
  </si>
  <si>
    <t>PREFA Cartuccia silicone</t>
  </si>
  <si>
    <t>PREFA Set di colla speciale</t>
  </si>
  <si>
    <t>PREFA Scanalatrice</t>
  </si>
  <si>
    <t>PREFA Ferro di spianatura</t>
  </si>
  <si>
    <t>PREFA Nastro forato, fotro ø 5 mm, rotolo da ca. 24Kg (0,7x1000mm)</t>
  </si>
  <si>
    <t>grigio chiaro/grigio chiaro</t>
  </si>
  <si>
    <t>Ufficio Tecnico</t>
  </si>
  <si>
    <t>Aggiornato:</t>
  </si>
  <si>
    <t>PREFA STŘEŠNÍ SYSTÉMY</t>
  </si>
  <si>
    <t>Zaslat zpět Faxem</t>
  </si>
  <si>
    <t>nebo e-mailem</t>
  </si>
  <si>
    <t>Firma / objednávající:</t>
  </si>
  <si>
    <t>Jméno:</t>
  </si>
  <si>
    <t>Ulice:</t>
  </si>
  <si>
    <t>Obec:</t>
  </si>
  <si>
    <t>Kontakt:</t>
  </si>
  <si>
    <t>e-mail:</t>
  </si>
  <si>
    <t>Dodací adresa:</t>
  </si>
  <si>
    <t>Komise:</t>
  </si>
  <si>
    <t>Povrchová úprava:</t>
  </si>
  <si>
    <t>Stucco</t>
  </si>
  <si>
    <t>Hladký</t>
  </si>
  <si>
    <t>Množství v:</t>
  </si>
  <si>
    <t>Celé balení:</t>
  </si>
  <si>
    <t>Kusů:</t>
  </si>
  <si>
    <t>Barva:</t>
  </si>
  <si>
    <t xml:space="preserve">práškově lakovaný </t>
  </si>
  <si>
    <t>Množství</t>
  </si>
  <si>
    <t>Jednotka</t>
  </si>
  <si>
    <t>Produkt</t>
  </si>
  <si>
    <t>Označení</t>
  </si>
  <si>
    <t xml:space="preserve">Celé balení </t>
  </si>
  <si>
    <t>Celkem</t>
  </si>
  <si>
    <t xml:space="preserve">Případně </t>
  </si>
  <si>
    <t>bm</t>
  </si>
  <si>
    <t>ks</t>
  </si>
  <si>
    <t>Krabice</t>
  </si>
  <si>
    <t>Balení</t>
  </si>
  <si>
    <t>Sada</t>
  </si>
  <si>
    <t>Svitek</t>
  </si>
  <si>
    <t>Svitky</t>
  </si>
  <si>
    <t>Poznámky</t>
  </si>
  <si>
    <t>PREFA Falcovaná taška (600 x 420 mm, 40 ks./Kart.) vč. vroubkovaných hřeníků (28/30) a patentovaných příponek</t>
  </si>
  <si>
    <t>PREFA Podkladní pás pro falcované tašky, hnědý, předvrtané otvory(1.806x150x1,20 mm)</t>
  </si>
  <si>
    <t>PREFA Podkladní pás pro falcované tašky-krátký 600 x 150 mm)</t>
  </si>
  <si>
    <t>PREFA Patentovaná příponka pro falcované tašky a šindele</t>
  </si>
  <si>
    <t>Zásobník příponek pro doplnění Bull Tack nastřelovačky hřebíků
80 ks/zásobník, 30 zásobníků/krabice</t>
  </si>
  <si>
    <t>Vybrat</t>
  </si>
  <si>
    <t>Výpis materiálu/poptávka</t>
  </si>
  <si>
    <t>Objednávka</t>
  </si>
  <si>
    <t>Mnohokrát děkujeme za váš výpis materiálu</t>
  </si>
  <si>
    <t>Mnohokrát děkujeme za vaší objednávku</t>
  </si>
  <si>
    <t>PREFA vroubkované hřebíky, pozinkované</t>
  </si>
  <si>
    <t>28/25 (1 kg = ca. 570 ks.)</t>
  </si>
  <si>
    <t>28/30 (1 kg = ca. 480 ks.)</t>
  </si>
  <si>
    <t>28/40 (1 kg = ca. 380 ks.)</t>
  </si>
  <si>
    <t>Hřebíky do Bull Tack Power hřebíkovačky</t>
  </si>
  <si>
    <t>Délka 26 mm (3.200 ks/krabice)</t>
  </si>
  <si>
    <t>Délka 35 mm (2.400 ks/krabice)</t>
  </si>
  <si>
    <t>Délka 26 mm (3.200 ks/krabice) NIRO</t>
  </si>
  <si>
    <t>PREFA větrací pás</t>
  </si>
  <si>
    <t>PREFA Ochranná mřížka proti ptákům hnědá/antracit (125x2.000x0,7mm)</t>
  </si>
  <si>
    <t>PREFA Závětrná lišta (95 x 2.000 x 0,70 mm)</t>
  </si>
  <si>
    <t>PREFA Bezpečnostní úžlabí stucco (3.000 mm délka)_CZ</t>
  </si>
  <si>
    <t>PREFA Hřebenáč malý 500 x 1,00 mm stucco
včetně nerez. vrutu 4,5x45mm a těsnící podložky</t>
  </si>
  <si>
    <t>PREFA Ukončovací hřebenáč stucco</t>
  </si>
  <si>
    <t>PREFA Jet-Lüfter stucco (1.200mm) včetně nerez. vrutu a těs. podložky</t>
  </si>
  <si>
    <t>PREFA Jet-Lüfter stucco (3.000mm)  včetně nerez. vrutu a těs. podložky</t>
  </si>
  <si>
    <t>PREFA Ukončovací prvek pro Jet-Lüfter</t>
  </si>
  <si>
    <t>Nerezový vrut s těsnící podložkou pro malý hřebenáč</t>
  </si>
  <si>
    <t>Nerezový vrut s těsnící podložkou pr Jet-Lüfter</t>
  </si>
  <si>
    <t>(4,5 x 45 mm, 250 ks/balení)</t>
  </si>
  <si>
    <t>(4,5 x 45 mm, 250 ks/balení, přírodní)</t>
  </si>
  <si>
    <t>(4,5 x 60 mm, 100 ks/balení)</t>
  </si>
  <si>
    <t>(4,5 x 60 mm, 100 ks/balení, přírodní)</t>
  </si>
  <si>
    <t>PREFA Odvětrávací haubna, hladká
průřez odvětrání cca. 30 cm²</t>
  </si>
  <si>
    <t>PREFA Odvětrávací prvek pro falcované tašky 300x420 mm
průřez odvětrání ca. 30 cm²</t>
  </si>
  <si>
    <t>PREFA Výlezové okno (600x600 mm) komplett s dřevěným rámem</t>
  </si>
  <si>
    <t>PREFA Lemování pro střešní okna Veluxr stucco</t>
  </si>
  <si>
    <t>PREFA Lemování pro střešní okna Roto stucco</t>
  </si>
  <si>
    <t>PREFA Nášlapný stupeň</t>
  </si>
  <si>
    <t>PREFA Držák stoupací plošiny - pozinkovaný</t>
  </si>
  <si>
    <t>PREFA Stoupací plošina (250 x 1.200 mm)</t>
  </si>
  <si>
    <t>PREFA  Stoupací plošina (250 x 800 mm)</t>
  </si>
  <si>
    <t>PREFA  Stoupací plošina (250 x 600 mm)</t>
  </si>
  <si>
    <t>PREFA  Stoupací plošina (250 x 420 mm)</t>
  </si>
  <si>
    <t>PREFALZ Doplňkový svitek</t>
  </si>
  <si>
    <t>PREFA Spojka pro stoupací plošiny, pozinkovaná</t>
  </si>
  <si>
    <t xml:space="preserve">PREFA Bezpečnostní hák na kruhových podložkách  EN 517B </t>
  </si>
  <si>
    <t>PREFA Bezpečnostní hák nach EN 517B</t>
  </si>
  <si>
    <t>PREFA Prostup pro falcované tašky hladký, Ø 80 - 125 mm</t>
  </si>
  <si>
    <t>PREFA Univerzální prostup 2 dílný, hladký, Ø 40 - 120 mm</t>
  </si>
  <si>
    <t>Včetně zateplení</t>
  </si>
  <si>
    <t>Bez zateplení</t>
  </si>
  <si>
    <t>Rozměry</t>
  </si>
  <si>
    <t>mechově zelená/světle šedá</t>
  </si>
  <si>
    <t>tmavě hnědá/antracit</t>
  </si>
  <si>
    <t>cihlově červená/tmavě červená</t>
  </si>
  <si>
    <t>prefabílá/prefa bílá</t>
  </si>
  <si>
    <t>PREFA Kolmý prostup Ø 100, hladká</t>
  </si>
  <si>
    <t>PREFA Nástavec odvětránír Ø 100, vhodné pro HT-rouru velikosti 110</t>
  </si>
  <si>
    <t>PREFA  Nástavec odvětránír Ø 120, vhodné pro HT-rouru velikosti 125</t>
  </si>
  <si>
    <t>PREFA Manžeta Ø 100-130</t>
  </si>
  <si>
    <t>PREFA Sněhový hák pro falcované tašky a šablony 29x29</t>
  </si>
  <si>
    <t>PREFA Držák sněhové zábrany</t>
  </si>
  <si>
    <t>PREFA Tyč sněhové zábrany (15 Ø x 3.000 mm) pro držák sněhové zábrany</t>
  </si>
  <si>
    <t>PREFA Ukončení tyčové sněhové zábrany</t>
  </si>
  <si>
    <t>PREFA Držák sněhové zábrany profilované trubky (205 x 66 x 303 mm)</t>
  </si>
  <si>
    <t>PREFA Profilovaná trubka sněhové zábrany (3.000 mm)</t>
  </si>
  <si>
    <t>PREFA Držák ledu</t>
  </si>
  <si>
    <t>PREFA Ukončení zábrany profilované trubky</t>
  </si>
  <si>
    <t>PREFA Držák kulatiny pro zadržování sněhu</t>
  </si>
  <si>
    <t>PREFA Kryt komínu - Napoleon 700 x 700 mm</t>
  </si>
  <si>
    <t>PREFA  Kryt komínu - Napoleon 800 x 800 mm</t>
  </si>
  <si>
    <t>PREFA  Kryt komínu - Napoleon.000 x 700 mm</t>
  </si>
  <si>
    <t>PREFA  Kryt komínu - Napoleon 1.100 x 800 mm</t>
  </si>
  <si>
    <t>PREFA  Kryt komínu - Napoleon 1.500 x 800 mm</t>
  </si>
  <si>
    <t>Vzpěra krytu komínu - ohýbaná</t>
  </si>
  <si>
    <t>PREFA Ploché profily (35 x 7 x 3.000 mm)</t>
  </si>
  <si>
    <t>PREFA Krytka kotvících prvků</t>
  </si>
  <si>
    <t>PREFA Silikon kartuše</t>
  </si>
  <si>
    <t>PREFA Speziální lepící sada</t>
  </si>
  <si>
    <t>PREFA Děrovaný plech, velikost děr 5 mm
cca. 24kg/svitek (0,7x1.000 mm)</t>
  </si>
  <si>
    <t>světle šedá/světle šedá</t>
  </si>
  <si>
    <t>Technické oddělení</t>
  </si>
  <si>
    <t>Stav:</t>
  </si>
  <si>
    <t>jazyk</t>
  </si>
  <si>
    <t>Ergänzungsband 1,0x1.000 mm (nur für Saumstreifen)</t>
  </si>
  <si>
    <t>flashing strip 1.0 × 1,000 mm (for edge cleat strips only)</t>
  </si>
  <si>
    <t>Bande complémentaire 1,0 × 1 000 mm (uniquement pour les bandes de départ)</t>
  </si>
  <si>
    <t>Nastro di complemento 1,0x1.000 mm (solo per scossaline)</t>
  </si>
  <si>
    <t>Doplňkový plech 1,0x1.000 mm (pouze na okapnice)</t>
  </si>
  <si>
    <t>PREFA DACHRINNENSYSTEME</t>
  </si>
  <si>
    <t>QUADRATROHR</t>
  </si>
  <si>
    <t>anthrazit</t>
  </si>
  <si>
    <t>PREFA Quadratrohr</t>
  </si>
  <si>
    <t>PREFA Halteklemme</t>
  </si>
  <si>
    <t>PREFA Blitzschutzklemme</t>
  </si>
  <si>
    <t>Rohrlänge wählen:</t>
  </si>
  <si>
    <t>1.500 mm</t>
  </si>
  <si>
    <t>3.000 mm</t>
  </si>
  <si>
    <t>PREFA Quadratrohrbogen 72° lang</t>
  </si>
  <si>
    <t>PREFA Quadratrohrbogen 72° kurz</t>
  </si>
  <si>
    <t>Dimension wählen:</t>
  </si>
  <si>
    <t>333 mm / 100 x 100 mm</t>
  </si>
  <si>
    <t>PREFA Quadratrohr mit Reinigungsöffnung</t>
  </si>
  <si>
    <t>140 mm</t>
  </si>
  <si>
    <t>200 mm</t>
  </si>
  <si>
    <t>330 mm</t>
  </si>
  <si>
    <t>PREFA M10 Gewindedorn</t>
  </si>
  <si>
    <t>PREFA Abdeckkappe für Rohrschellendorn</t>
  </si>
  <si>
    <t>DACHENTWÄSSERUNG</t>
  </si>
  <si>
    <t>PREFA Aluminium Dachrinne mit Schutzfolie aussen</t>
  </si>
  <si>
    <t>PREFA Rinnenhaken</t>
  </si>
  <si>
    <t>PREFA Stirnbretthaken für Dachrinnen</t>
  </si>
  <si>
    <t>PREFA Rinnenhaken Schweiz</t>
  </si>
  <si>
    <t>PREFA Rinnenendboden</t>
  </si>
  <si>
    <t>PREFA Kugelendboden</t>
  </si>
  <si>
    <t>PREFA Rinnenwinkel außen 90°</t>
  </si>
  <si>
    <t>PREFA Rinnenwinkel innen 90°</t>
  </si>
  <si>
    <t>PREFA Rinnenkessel</t>
  </si>
  <si>
    <t>PREFA Schrägstutzen</t>
  </si>
  <si>
    <t>PREFA Einlaufblech glatt</t>
  </si>
  <si>
    <t>PREFA Aluminium Kastenrinne</t>
  </si>
  <si>
    <t>PREFA Rinnenhaken für Kastenrinne</t>
  </si>
  <si>
    <t>PREFA Kastenrinnenendboden</t>
  </si>
  <si>
    <t>PREFA Kastenrinnenwinkel außen 90°</t>
  </si>
  <si>
    <t>PREFA Kastenrinnenwinkel innen 90°</t>
  </si>
  <si>
    <t>PREFA Kastenrinnenkessel</t>
  </si>
  <si>
    <t>PREFA Saumrinne mit Schutzfolie aussen</t>
  </si>
  <si>
    <t>PREFA Saumrinnenendboden</t>
  </si>
  <si>
    <t>PREFA Saumrinnenhaken</t>
  </si>
  <si>
    <t>PREFA Ablaufrohre</t>
  </si>
  <si>
    <t>PREFA Ablaufrohr DN 60 geschweißt</t>
  </si>
  <si>
    <t>PREFA Ablaufrohr 1,6 mm</t>
  </si>
  <si>
    <t>PREFA Rohrschelle mit M10 Gewinde ohne Dorn</t>
  </si>
  <si>
    <t>PREFA Rohrschellendorn</t>
  </si>
  <si>
    <t>PREFA Rohrbogen 72°</t>
  </si>
  <si>
    <t>PREFA Rohrbogen 85°</t>
  </si>
  <si>
    <t>PREFA Rohrbogen 40°</t>
  </si>
  <si>
    <t>PREFA Wassersammler</t>
  </si>
  <si>
    <t>PREFA Regenklappe</t>
  </si>
  <si>
    <t>PREFA Rohreinmündung</t>
  </si>
  <si>
    <t>PREFA Rohreinmündung konisch</t>
  </si>
  <si>
    <t>PREFA Standrohrkappe</t>
  </si>
  <si>
    <t>PREFA Standrohr mit Reinigungsöffnung</t>
  </si>
  <si>
    <t>PREFA Rohrverbinder</t>
  </si>
  <si>
    <t>PREFA Rohrschelle für Standrohre</t>
  </si>
  <si>
    <t>PREFA Laubfänger (nur in braun)</t>
  </si>
  <si>
    <t>PREFA Speiereinmündung</t>
  </si>
  <si>
    <t>PREFA Patentniete</t>
  </si>
  <si>
    <t>PREFA Ablaufkette 5 mm</t>
  </si>
  <si>
    <t>PREFA Hydrolack</t>
  </si>
  <si>
    <t>PREFA Dila</t>
  </si>
  <si>
    <t>PREFA Hängerinnen-Dila mit Wulst und Blende</t>
  </si>
  <si>
    <t>PREFA Kastenrinnen-Dila mit Wulst und Blende</t>
  </si>
  <si>
    <t>PREFA Kastenrinnen-Dila ohne Wulst und Blende</t>
  </si>
  <si>
    <t>PREFA Hängerinnen-Dila ohne Wulst und Blende</t>
  </si>
  <si>
    <t>Rinnendimension:</t>
  </si>
  <si>
    <t>Ablaufdimension:</t>
  </si>
  <si>
    <t>60 ø</t>
  </si>
  <si>
    <t>100 ø</t>
  </si>
  <si>
    <t>120 ø</t>
  </si>
  <si>
    <t>150 ø</t>
  </si>
  <si>
    <t>Rinnenlänge wählen:</t>
  </si>
  <si>
    <t>Dimension nicht möglich</t>
  </si>
  <si>
    <t>6 m</t>
  </si>
  <si>
    <t>3 m</t>
  </si>
  <si>
    <t>Länge wählen:</t>
  </si>
  <si>
    <t>kurz</t>
  </si>
  <si>
    <t>normal</t>
  </si>
  <si>
    <t>lang</t>
  </si>
  <si>
    <t>230 x 2.000 x 0,7 mm</t>
  </si>
  <si>
    <t>Kastenrinne</t>
  </si>
  <si>
    <t>Werte 250 bis 400 (ohne 500)</t>
  </si>
  <si>
    <t>Werte 250 bis 500 (ohne 280)</t>
  </si>
  <si>
    <t>Stirnbretthaken</t>
  </si>
  <si>
    <t>Rinnenhaken</t>
  </si>
  <si>
    <t>250/23 x 7</t>
  </si>
  <si>
    <t>333/28 x 7</t>
  </si>
  <si>
    <t>Kastenrinnenboden</t>
  </si>
  <si>
    <t>PREFA Rinnenhaken Hochkant</t>
  </si>
  <si>
    <t>700 x 1,0 mm</t>
  </si>
  <si>
    <t>28 x 7 mm</t>
  </si>
  <si>
    <t>100 ø x 1.450 mm</t>
  </si>
  <si>
    <t>195 mm lang</t>
  </si>
  <si>
    <t>60 mm Ausladung</t>
  </si>
  <si>
    <t>100 ø 700-1.100 mm</t>
  </si>
  <si>
    <t>DM 80 + 100 + 120</t>
  </si>
  <si>
    <t>DM 80 + 100 + 120 + 150</t>
  </si>
  <si>
    <t>100 x ø 50-75 mm</t>
  </si>
  <si>
    <t>PREFA Hydrolack_IT</t>
  </si>
  <si>
    <t>250_FR</t>
  </si>
  <si>
    <t>280_FR</t>
  </si>
  <si>
    <t>400_FR</t>
  </si>
  <si>
    <t>500_FR</t>
  </si>
  <si>
    <t>PREFA Ablaufrohr 1,6 mm DN 100</t>
  </si>
  <si>
    <t>Teleskoprohrbogen</t>
  </si>
  <si>
    <t>Standrohrkappe"</t>
  </si>
  <si>
    <t>80/115</t>
  </si>
  <si>
    <t>100/115</t>
  </si>
  <si>
    <t>100/150</t>
  </si>
  <si>
    <t>120/150</t>
  </si>
  <si>
    <t>Standrohr mit Reinigungsöffnung</t>
  </si>
  <si>
    <t>80 x 1.000</t>
  </si>
  <si>
    <t>100 x 1.000</t>
  </si>
  <si>
    <t>120 x 1.000</t>
  </si>
  <si>
    <t>PREFA Wasserfangkasten 220/220/330</t>
  </si>
  <si>
    <t>Patentniete</t>
  </si>
  <si>
    <t>0,75 l Dose</t>
  </si>
  <si>
    <t>50 ml Dose mit Pinsel</t>
  </si>
  <si>
    <t>Werte 250  333 400</t>
  </si>
  <si>
    <t>333_FR</t>
  </si>
  <si>
    <t>250 g</t>
  </si>
  <si>
    <t>300 ml</t>
  </si>
  <si>
    <t>Bedienungsanleitung</t>
  </si>
  <si>
    <t>DACHPLATTE</t>
  </si>
  <si>
    <t>ROOF TILE</t>
  </si>
  <si>
    <t>TUILE</t>
  </si>
  <si>
    <t>TEGOLA</t>
  </si>
  <si>
    <t>FALCOVANÁ TAŠKA</t>
  </si>
  <si>
    <t>À RENVOYER PAR FAX :</t>
  </si>
  <si>
    <t>PREFALZ Ergänzungsband 1,0x1.000 mm (nur für Saumstreifen)</t>
  </si>
  <si>
    <t>Prefalz flashing strip 1.0 × 1,000 mm (for edge cleat strips only)</t>
  </si>
  <si>
    <t>Bande complémentaire Prefalz 1,0 × 1 000 mm (uniquement pour les bandes de départ)</t>
  </si>
  <si>
    <t>PREFALZ Nastro di complemento 1,0x1.000 mm (solo per scossaline)</t>
  </si>
  <si>
    <t>PREFALZ Doplňkový plech 1,0x1.000 mm (pouze na okapnice)</t>
  </si>
  <si>
    <t>PREFALZ Ergänzungsband 0,7x1.000 mm (für Zusatzverblechungen)</t>
  </si>
  <si>
    <t>Prefalz flashing strip 0.7 × 1,000 mm (for additional flashings)</t>
  </si>
  <si>
    <t>Bande complémentaire Prefalz 0,7 × 1 000 mm (pour les raccordements complémentaires)</t>
  </si>
  <si>
    <t>PREFALZ Nastro di complemento 0,7x1.000 mm (per lattonerie)</t>
  </si>
  <si>
    <t>PREFALZ Doplňkový plech 0,7x1.000 mm (na výrobu oplechování)</t>
  </si>
  <si>
    <t>Demande / Quantités requises</t>
  </si>
  <si>
    <t>DACHPLATTE R.16</t>
  </si>
  <si>
    <t>PREFA Schneestopper für Dachplatte R.16 und FX.12</t>
  </si>
  <si>
    <t>DACHSCHINDEL</t>
  </si>
  <si>
    <t>PREFA Froschmaulluke stucco für Dachschindel 420 x 240 mm
Lüftungsquerschnitt ca. 30 cm²</t>
  </si>
  <si>
    <t>PREFA Einfassungsplatte für Dachschindel</t>
  </si>
  <si>
    <t>PREFA Schneestopper für Dachschindel</t>
  </si>
  <si>
    <t>PREFA Startplatte (1,48 Stk./lfm, 40 Stk./Kart.)</t>
  </si>
  <si>
    <t>PREFA Endplatte (1,48 Stk./lfm, 40 Stk./Kart.)</t>
  </si>
  <si>
    <t>PREFA Startplatte (2,2 Stk./lfm, 100 Stk./Kart.)</t>
  </si>
  <si>
    <t>PREFA Endplatte (2,2 Stk./lfm, 100 Stk./Kart.)</t>
  </si>
  <si>
    <t>DACHPANEL FX.12</t>
  </si>
  <si>
    <t>PREFALZ</t>
  </si>
  <si>
    <t>PREFA NIRO Winkelstehfalzhaft</t>
  </si>
  <si>
    <t>PREFA NIRO Hosenhaft</t>
  </si>
  <si>
    <t>PREFA NIRO Hosenschiebehaft</t>
  </si>
  <si>
    <t>PREFA Dachlukendeckel mit Holzrahmen
(Innenmass 600x600mm)</t>
  </si>
  <si>
    <t>PREFA Holzrahmen
(Innenmass 600 x 600 mm)</t>
  </si>
  <si>
    <t>PREFA Dachlukendeckel
(Innenmass 600 x 600 mm)</t>
  </si>
  <si>
    <t>PREFA Dachlukendeckel</t>
  </si>
  <si>
    <t>PREFA Falzgel</t>
  </si>
  <si>
    <t>PREFA Sailerklemme einfach</t>
  </si>
  <si>
    <t>PREFA Sailerklemme für Schrägfalze</t>
  </si>
  <si>
    <t>PREFA Sailerklemme doppelt</t>
  </si>
  <si>
    <t>PREFA Eckverbinder für PREFA Rohr</t>
  </si>
  <si>
    <t>PREFA Eisfänger</t>
  </si>
  <si>
    <t>PREFA Laufstegstütze für Laufstege</t>
  </si>
  <si>
    <t>PREFA Rillennagel NIRO</t>
  </si>
  <si>
    <t>4 x 9,5 mm</t>
  </si>
  <si>
    <t>PREFA Kastenrinnenendboden 500 links</t>
  </si>
  <si>
    <t>PREFA Kastenrinnenendboden 500 rechts</t>
  </si>
  <si>
    <t>Jazyk</t>
  </si>
  <si>
    <t>PREFA STREŠNÉ SYSTÉMY</t>
  </si>
  <si>
    <t>STREŠNÁ FALCOVANÁ ŠKRIDLA</t>
  </si>
  <si>
    <t>ODOSLAŤ SPÄŤ FAXOM:</t>
  </si>
  <si>
    <t>ALEBO EMAILOM:</t>
  </si>
  <si>
    <t>Dátum:</t>
  </si>
  <si>
    <t>Firma / objednávateľ:</t>
  </si>
  <si>
    <t>Meno:</t>
  </si>
  <si>
    <t>Ulica:</t>
  </si>
  <si>
    <t>Telefón:</t>
  </si>
  <si>
    <t>Dodacia adresa:</t>
  </si>
  <si>
    <t>Komisia:</t>
  </si>
  <si>
    <t>Množstvo v:</t>
  </si>
  <si>
    <t>Celé balenie:</t>
  </si>
  <si>
    <t>Kusov:</t>
  </si>
  <si>
    <t>Farba:</t>
  </si>
  <si>
    <t>farbenie práškovaním</t>
  </si>
  <si>
    <t>Farba</t>
  </si>
  <si>
    <t>Množstvo</t>
  </si>
  <si>
    <t>Označenie</t>
  </si>
  <si>
    <t>Celé balenie</t>
  </si>
  <si>
    <t>Celkom</t>
  </si>
  <si>
    <t>Prípadne</t>
  </si>
  <si>
    <t>Krabica</t>
  </si>
  <si>
    <t>Balenie</t>
  </si>
  <si>
    <t>Zvitok</t>
  </si>
  <si>
    <t>Zvitky</t>
  </si>
  <si>
    <t>Ďalšie poznámky</t>
  </si>
  <si>
    <t>PREFA falcovaná škridla (600 x 420 mm, 40 ks/kartón) vrátane ryhovaných klincov (2,8/30) a patentovaných príponiek</t>
  </si>
  <si>
    <t>PREFA odkvapový podkladový pás k falcovaným škridliam, hnedý, predvŕtané otvory (1.806 x 150 x 1,20 mm)</t>
  </si>
  <si>
    <t>PREFA odkvapový podkladový pás k falcovaným škridliam, krátký, tvarovaný (600 x 150 mm)</t>
  </si>
  <si>
    <t>PREFA patentovaná príponka na falcované škridle a šindle</t>
  </si>
  <si>
    <t>Zásobník na príponky pro doplnenie Bull Tack zásobníka
80 ks/zásobník, 30 zásobníkov/krabica</t>
  </si>
  <si>
    <t>Vybrať</t>
  </si>
  <si>
    <t>Výpis materiálu / dopyt</t>
  </si>
  <si>
    <t>Servis:</t>
  </si>
  <si>
    <t>Ďakujeme veľmi pekne za uvedenie množstva materiálu</t>
  </si>
  <si>
    <t>Ďakujeme Vám za Vašu objednávku</t>
  </si>
  <si>
    <t>PREFA ryhované klince, pozinkované</t>
  </si>
  <si>
    <t>28/25 (1 kg = cca 570 ks)</t>
  </si>
  <si>
    <t>28/30 (1 kg = cca 480 ks)</t>
  </si>
  <si>
    <t>28/40 (1 kg = cca 380 ks)</t>
  </si>
  <si>
    <t>Klince do Bull Tack Power klincovačky</t>
  </si>
  <si>
    <t>Dĺžka 26 mm (3.200 ks/krabica)</t>
  </si>
  <si>
    <t>Dĺžka 35 mm (2.400 ks/krabica)</t>
  </si>
  <si>
    <t>Dĺžka 26 mm (3.200 ks/krabica) NIRO</t>
  </si>
  <si>
    <t>PREFA vetrací pás</t>
  </si>
  <si>
    <t>1 x 250 (A=140 B=85 C=25 mm)</t>
  </si>
  <si>
    <t>1 x 333 (A=223 B=85 C=25 mm)</t>
  </si>
  <si>
    <t>PREFA ochranná mriežka proti vtákom hnedá/antracitová (125 x 2.000 x 0,7 mm)</t>
  </si>
  <si>
    <t>PREFA záveternácia lišta (95 x 2.000 x 0,70 mm)</t>
  </si>
  <si>
    <t>PREFA bezpečnostné úžľabie stucco (dĺžka 3.000 mm)</t>
  </si>
  <si>
    <t>PREFA hrebenáč na hreneň resp. na nárožie, 500 x 1,00 mm, stucco
vrátane nerezovej skrutky 4,5 x 45mm s tesniacou podložkou</t>
  </si>
  <si>
    <t>PREFA hrebenáč na hrebeň reps. na nárožie, prvok na začiatok alebo ukončenie hrebeňa resp. nárožia, stucco</t>
  </si>
  <si>
    <t>PREFA odvetrávací hrebenáč Jet-Lüfter, stucco (1.200 mm) vrátane nerezovej skrutky s tesniacou podložkou</t>
  </si>
  <si>
    <t>PREFA odvetrávací hrebenáč Jet-Lüfter, stucco (3.000 mm) vrátane nerezovej skrutky s tesniacou podložkou</t>
  </si>
  <si>
    <t xml:space="preserve">PREFA ukončujúci prvok pre odvetrávací hrebenáč Jet-Lüfter </t>
  </si>
  <si>
    <t>Skrutky z nehrdzavejúcej ocele s tesniacim krúžkom pre hrebeň resp. nárožie</t>
  </si>
  <si>
    <t>Skrutky z nehrdzavejúcej ocele s tesniacim krúžkom pre Jet-Lüfter</t>
  </si>
  <si>
    <t>(4,5 x 45 mm, 250 ks/balenie)</t>
  </si>
  <si>
    <t>(4,5 x 45 mm, 250 ks/balenie, prírodný hliník</t>
  </si>
  <si>
    <t>(4,5 x 60 mm, 100 ks/balenie)</t>
  </si>
  <si>
    <t>(4,5 x 60 mm, 100 ks/balenie, prírodný hliník)</t>
  </si>
  <si>
    <t>PREFA odvetrávacia tvarovka pre upevnenie nitmi, hladká
otvor odvetrávania cca 30 cm²</t>
  </si>
  <si>
    <t>PREFA odvetrávacia falcovaná škridla, 300 x 420 mm
otvor odvetrávania cca 30 cm²</t>
  </si>
  <si>
    <t>PREFA povalové okno (600 x 600 mm) komplet s dreveným rámom</t>
  </si>
  <si>
    <t>PREFA lemovanie pre strešné okná Velux, stucco</t>
  </si>
  <si>
    <t>PREFA lemovanie pre strešné okná Roto, stucco</t>
  </si>
  <si>
    <t>PREFA stúpací schodík</t>
  </si>
  <si>
    <t>PREFA držiak strešnej lávky - pozinkovaný</t>
  </si>
  <si>
    <t>PREFA strešná lávka (250 x 1.200 mm)</t>
  </si>
  <si>
    <t>PREFA strešná lávka (250 x 800 mm)</t>
  </si>
  <si>
    <t>PREFA strešná lávka (250 x 600 mm)</t>
  </si>
  <si>
    <t>PREFA strešná lávka (250 x 420 mm)</t>
  </si>
  <si>
    <t>PREFALZ zvitkový hliníkový plech</t>
  </si>
  <si>
    <t>PREFA spojka strešnej lávky, pozinkovaná</t>
  </si>
  <si>
    <t xml:space="preserve">PREFA bezpečnostný hák na kruhových podperách podľa EN 517B </t>
  </si>
  <si>
    <t>PREFA bezpečnostný hák podľa EN 517B</t>
  </si>
  <si>
    <t>PREFA Prestup pre falcované škridle hladký, Ø 80 - 125 mm</t>
  </si>
  <si>
    <t>PREFA univerzálny prestupový prvok, 2 dielny, hladký, Ø 40 - 120 mm</t>
  </si>
  <si>
    <t>vrátane zateplenia</t>
  </si>
  <si>
    <t>bez zateplenia</t>
  </si>
  <si>
    <t>Rozmery:</t>
  </si>
  <si>
    <t>machovozelená/svetlošedá</t>
  </si>
  <si>
    <t>hnedá/antracitová</t>
  </si>
  <si>
    <t>tehlovočervená/tmavočervená</t>
  </si>
  <si>
    <t>prefa biela/prefa biela</t>
  </si>
  <si>
    <t>PREFA kolmý prestup Ø 100, hladký</t>
  </si>
  <si>
    <t>PREFA odvetrávacia rúra Ø 100, vhodná pre PVC rúru veľkosti 110</t>
  </si>
  <si>
    <t>PREFA odvetrávacia rúra Ø 120, vhodná pre PVC rúru veľkosti 125</t>
  </si>
  <si>
    <t>PREFA manžeta Ø 100-130</t>
  </si>
  <si>
    <t>PREFA zachytávač snehu na falcované škridle a šablóny 29x29</t>
  </si>
  <si>
    <t>PREFA držiak rúrkového zachytávača snehu</t>
  </si>
  <si>
    <t>PREFA rúrka zachytávača snehu (15 Ø x 3.000 mm) do rúrkových zachytávačov snehu</t>
  </si>
  <si>
    <t>PREFA ukončovací prvok rúrkového zachytávača snehu</t>
  </si>
  <si>
    <t>PREFA systémový rúrkový zachytávač snehu pre profilované rúrky (205 x 66 x 303 mm)</t>
  </si>
  <si>
    <t>PREFA profilovaná rúrka zachytávača snehu (3.000 mm)</t>
  </si>
  <si>
    <t>PREFA zachytávač ľadu</t>
  </si>
  <si>
    <t>PREFA ukončovací prvok zachytávača snehu pre profilované rúrky</t>
  </si>
  <si>
    <t>PREFA držiak horského zachytávača snehu pre rúrky kruhového prierezu</t>
  </si>
  <si>
    <t>PREFA komínová strieška 700 x 700 mm</t>
  </si>
  <si>
    <t>PREFA komínová strieška 800 x 800 mm</t>
  </si>
  <si>
    <t>PREFA komínová strieška 1.000 x 700 mm</t>
  </si>
  <si>
    <t>PREFA komínová strieška 1.100 x 800 mm</t>
  </si>
  <si>
    <t>PREFA komínová strieška 1.500 x 800 mm</t>
  </si>
  <si>
    <t>Výstuha komínovej striešky</t>
  </si>
  <si>
    <t>PREFA plochý profil (35 x 7 x 3.000 mm)</t>
  </si>
  <si>
    <t>PREFA krytka kotviacich prvkov</t>
  </si>
  <si>
    <t>PREFA silikón, kartuša</t>
  </si>
  <si>
    <t>PREFA špeciálna lepiaca súprava</t>
  </si>
  <si>
    <t>PREFA ryhovací nástroj</t>
  </si>
  <si>
    <t>PREFA napínací nástroj</t>
  </si>
  <si>
    <t>PREFA dierovaný plech, veľkosť dier 5 mm
cca 24kg/zvitok (0,7 x 1.000 mm)</t>
  </si>
  <si>
    <t>svetlošedá/svetlošedá</t>
  </si>
  <si>
    <t>Technické oddelenie</t>
  </si>
  <si>
    <t>PREFALZ doplkový pás 1,0 x 1.000 mm (len pre odkvapový pás)</t>
  </si>
  <si>
    <t>PREFALZ doplnkový pás 0,7 x 1.000 mm (na výrobu oplechovania)</t>
  </si>
  <si>
    <t>0,75 l dóza</t>
  </si>
  <si>
    <t>1: Kliknutím vyberte požadovaný produkt</t>
  </si>
  <si>
    <t>195 mm dlhé</t>
  </si>
  <si>
    <t>2: Všetky polia označené sivou farbou môžu byť vyplnené, alebo uložené do preddefinovaného výberu</t>
  </si>
  <si>
    <t>290 ml postačuje na cca 4 bm</t>
  </si>
  <si>
    <t>3: Je možné vybrať si aj všetky doplnkové polia</t>
  </si>
  <si>
    <t>4: Ak bola zvolená prášková farba, zobrazí sa ďalšie pole pre voľbu farby</t>
  </si>
  <si>
    <t>50 ml nádoba so štetcom</t>
  </si>
  <si>
    <t>vybočenie 60 mm</t>
  </si>
  <si>
    <t>Dimenzia zvodu:</t>
  </si>
  <si>
    <t>Návod na použitie</t>
  </si>
  <si>
    <t>ODVODNENIE STRECHY</t>
  </si>
  <si>
    <t>STREŠNÝ PANEL FX.12</t>
  </si>
  <si>
    <t>STREŠNÁ ŠKRIDLA R.16</t>
  </si>
  <si>
    <t>STREŠNÁ ŠABLÓNA 29x29</t>
  </si>
  <si>
    <t>STREŠNÁ ŠABLÓNA 44x44</t>
  </si>
  <si>
    <t>STREŠNÝ ŠINDEĽ</t>
  </si>
  <si>
    <t>Rozmer nie je k dispozícii</t>
  </si>
  <si>
    <t>Vyberte rozmer:</t>
  </si>
  <si>
    <t>krátky</t>
  </si>
  <si>
    <t>dĺžka</t>
  </si>
  <si>
    <t>Vyberte dĺžku:</t>
  </si>
  <si>
    <t>normálne</t>
  </si>
  <si>
    <t>Ø100 mm sedí pre PVC rúru DN 110 mm</t>
  </si>
  <si>
    <t>Ø115 mm sedí pre PVC rúru DN 125 mm</t>
  </si>
  <si>
    <t>PREFA kryt tŕňa objímky zvodu</t>
  </si>
  <si>
    <t>PREFA reťaz daždového zvodu 5 mm</t>
  </si>
  <si>
    <t>PREFA dažďový zvod 1,6 mm DN 100</t>
  </si>
  <si>
    <t>PREFA dažďový zvod DN 60, zváraný</t>
  </si>
  <si>
    <t>PREFA dažďový zvod</t>
  </si>
  <si>
    <t xml:space="preserve">PREFA hliníkový polkruhový žľab s ochrannou fóliou na vonkajšej strane </t>
  </si>
  <si>
    <t>PREFA hliníkový hranatý žľab</t>
  </si>
  <si>
    <t>PREFA tyče na spájkovanie hliníka</t>
  </si>
  <si>
    <t>PREFA prvok napojenia bleskozvodu</t>
  </si>
  <si>
    <t>PREFA prípravok na vŕtanie</t>
  </si>
  <si>
    <t>PREFA kryt na povalové okno</t>
  </si>
  <si>
    <t>PREFA kryt na povalové okno s dreveným rámom
(vnútorný rozmer 600 x 600mm)</t>
  </si>
  <si>
    <t>PREFA kryt na povalové okno
(vnútorný rozmer 600 x 600 mm)</t>
  </si>
  <si>
    <t>PREFA strešná šablóna (29x29 mm, 120 ks/kart.)</t>
  </si>
  <si>
    <t>PREFA strešná šablóna  (440 x 440 mm, 42 ks/kart.)</t>
  </si>
  <si>
    <t>PREFA SYSTÉM ODVODNENIA STRIECH</t>
  </si>
  <si>
    <t>PREFA strešný šindeľ (420 x 240 mm)</t>
  </si>
  <si>
    <t>PREFA dilatačný prvok</t>
  </si>
  <si>
    <t>PREFA kotviaci bod podľa EN 795 triedy A (so šírkou 650)</t>
  </si>
  <si>
    <t>PREFA rohová spojka pre PREFA zvod</t>
  </si>
  <si>
    <t>PREFA prestupový prvok pre strešnú škridlu R.16 a stešný panel FX.12, hladký, Ø 80 - 125 mm</t>
  </si>
  <si>
    <t>PREFA prestupový prvok pre strešnú šablónu 29x29, hladký, Ø 80 - 125 mm</t>
  </si>
  <si>
    <t>PREFA prestupový prvok pre strešnú šablónu 44x44, hladký, Ø 80 - 125 mm</t>
  </si>
  <si>
    <t>PREFA prestupový prvok pre strešný šindeľ</t>
  </si>
  <si>
    <t>PREFA odkvapový plech 230 x 2.000 x 0.7 mm</t>
  </si>
  <si>
    <t>PREFA odkvapový plech hladký</t>
  </si>
  <si>
    <t>PREFA ukončovací prvok (1,48 ks/bm, 40 ks/kart.)</t>
  </si>
  <si>
    <t>PREFA ukončovací prvok (2,2 ks/bm, 100 ks/kart.)</t>
  </si>
  <si>
    <t>PREFA odvetrávacia rúra Ø 100</t>
  </si>
  <si>
    <t>PREFA odvetrávacia rúra Ø 120</t>
  </si>
  <si>
    <t>PREFA drážkový gel</t>
  </si>
  <si>
    <t>PREFA odvetrávací šindeľ stucco 420 x 240 mm
vetrací otvor cca 30 cm²</t>
  </si>
  <si>
    <t>PREFA odvetrávacia tvarovka, upevnenie nitmi,  vetrací otvor cca 30 cm²</t>
  </si>
  <si>
    <t>PREFA strešný panel FX.12 krátky (700 x 420 mm)</t>
  </si>
  <si>
    <t>PREFA strešný panel FX.12 dlhý (1.400 x 420 mm)</t>
  </si>
  <si>
    <t>PREFA gumové tesnenie sedí pre PVC DN 110 mm</t>
  </si>
  <si>
    <t>PREFA montážna svorka</t>
  </si>
  <si>
    <t>PREFA dilatačný prvok polkruhového zľabu s návalkom a krytom</t>
  </si>
  <si>
    <t>PREFA dilatačný prvok polkruhového zľabu bez návalku a krytu</t>
  </si>
  <si>
    <t>PREFA drevený rám
(vnutorný rozmer 600 x 600 mm)</t>
  </si>
  <si>
    <t>PREFA hydrolak</t>
  </si>
  <si>
    <t>PREFA dilatačný prvok hranatého zľabu s návalkom a krytom</t>
  </si>
  <si>
    <t>PREFA dilatačný prvok hranatého zľabu bez návalku a krytu</t>
  </si>
  <si>
    <t>PREFA čelo hranatého zľabu</t>
  </si>
  <si>
    <t>PREFA kotlík hranatého zľabu</t>
  </si>
  <si>
    <t>PREFA roh hranatého zľabu vonkajší 90°</t>
  </si>
  <si>
    <t>PREFA roh hranatého zľabu vnútorný 90°</t>
  </si>
  <si>
    <t>PREFA nalepovací prestupový prvok pre falcované strechy Ø 120-170 mm</t>
  </si>
  <si>
    <t>PREFA nalepovací prestupový prvok pre falcované strechy Ø 170-210 mm</t>
  </si>
  <si>
    <t>PREFA nalepovací prestupový prvok pre falcované strechy Ø 50-65 mm</t>
  </si>
  <si>
    <t>PREFA nalepovací prestupový prvok pre falcované strechy Ø 80-125 mm</t>
  </si>
  <si>
    <t>PREFA guľaté čelo žľabu</t>
  </si>
  <si>
    <t>PREFA lapač lístia (iba hnedý)</t>
  </si>
  <si>
    <t>PREFA držiak strešnej lávky</t>
  </si>
  <si>
    <t xml:space="preserve">PREFA tŕň so závitom M10 </t>
  </si>
  <si>
    <t>PREFA NIRO nohavicová pevná príponka</t>
  </si>
  <si>
    <t>PREFA NIRO nohavicová posuvná príponka</t>
  </si>
  <si>
    <t>PREFA NIRO uhlová posuvná dlhá príponka do 12 m</t>
  </si>
  <si>
    <t>PREFA NIRO uhlová pevná príponka</t>
  </si>
  <si>
    <t>PREFA trhací nit</t>
  </si>
  <si>
    <t>PREFA štvorcový zvod</t>
  </si>
  <si>
    <t>PREFA hranatý kotlík pre hranatý žľab</t>
  </si>
  <si>
    <t>PREFA štvorcový zvod s čistiacim otvoromQuadratrohr mit Reinigungsöffnung</t>
  </si>
  <si>
    <t>PREFA prechodka štvorcového zvodu na kruhový zvod</t>
  </si>
  <si>
    <t>PREFA fasádny kotlík štvorcového zvodu so zaústením pre strešný chrlič</t>
  </si>
  <si>
    <t>PREFA zberný kotlík na vodu štvorcového zvodu 220/220/330</t>
  </si>
  <si>
    <t>PREFA štvorcové koleno 72° krátke</t>
  </si>
  <si>
    <t>PREFA štvorcové koleno 72° dlhé</t>
  </si>
  <si>
    <t>PREFA klapka zberača vody</t>
  </si>
  <si>
    <t>PREFA čelo žľabu</t>
  </si>
  <si>
    <t>PREFA hák polkruhového žľabu</t>
  </si>
  <si>
    <t>PREFA hák hranatého žľabu</t>
  </si>
  <si>
    <t>PREFA hák polkruhového žľabu Švajčiarsko</t>
  </si>
  <si>
    <t>PREFA klinec pre žľabový hák 5,0 x 80</t>
  </si>
  <si>
    <t>PREFA kotlík polkruhového žľabu</t>
  </si>
  <si>
    <t>PREFA roh polkruhového zľabu vonkajší 90°</t>
  </si>
  <si>
    <t>PREFA roh polkruhového zľabu vnútorný 90°</t>
  </si>
  <si>
    <t>PREFA rúrka snehového zachytávača 28 x 2 x 3.000 mm vrátane spojky</t>
  </si>
  <si>
    <t>PREFA koleno kruhového zvodu 40°</t>
  </si>
  <si>
    <t>PREFA koleno kruhového zvodu 72°</t>
  </si>
  <si>
    <t>PREFA koleno kruhového zvodu 85°</t>
  </si>
  <si>
    <t>PREFA odbočka kruhového zvodu</t>
  </si>
  <si>
    <t>PREFA odbočka kruhového zvodu kónická</t>
  </si>
  <si>
    <t>PREFA objímka pre zaústenie na ležatú kanalizáciu</t>
  </si>
  <si>
    <t>PREFA objímka zvodu so závitom M10 bez tŕňa</t>
  </si>
  <si>
    <t>PREFA oceľový tŕň zvodu s krytom</t>
  </si>
  <si>
    <t>PREFA oceľová hmoždinka s tŕňom do zatepľovacieho systému</t>
  </si>
  <si>
    <t>PREFA držiak objímky pre zatepľovacie systémy</t>
  </si>
  <si>
    <t>PREFA spojka zvodu</t>
  </si>
  <si>
    <t>PREFA dvojitá svorka rúrky zachytávača snehu</t>
  </si>
  <si>
    <t>PREFA jednoduchá svorka rúrky zachytávača snehu</t>
  </si>
  <si>
    <t>PREFA svorka rúrky zachytávača snehu s predĺženým otvorom na šikmé drážky</t>
  </si>
  <si>
    <t>PREFA nástrešný žľab s ochrannou fóliou na vonkajšej strane</t>
  </si>
  <si>
    <t>PREFA čelo nástrešného žľabu</t>
  </si>
  <si>
    <t>PREFA hák nástrešného žľabu</t>
  </si>
  <si>
    <t>PREFA okrajový podkladový pás (1.800 x 158 x 1.00 mm)</t>
  </si>
  <si>
    <t>PREFA zachytávač snehu na škridlu R.16 a panel FX.12</t>
  </si>
  <si>
    <t>PREFA zachytávač snehu na šablónu 29x29</t>
  </si>
  <si>
    <t>PREFA zachytávač snehu na šablónu 44x44</t>
  </si>
  <si>
    <t>PREFA zachytávač snehu na šindeľ</t>
  </si>
  <si>
    <t>PREFA šikmé hrdlo</t>
  </si>
  <si>
    <t>PREFA soklové koleno, vybočenie 60 mm</t>
  </si>
  <si>
    <t>PREFA fasádny kotlík so zaústením pre strešný chrlič</t>
  </si>
  <si>
    <t>PREFA zvod s čistiacim otvorom</t>
  </si>
  <si>
    <t>PREFA zvodová prechodka</t>
  </si>
  <si>
    <t>PREFA štartovacia šablóna (1,48 ks/bm, 40 ks/kart.)</t>
  </si>
  <si>
    <t>PREFA štartovacia šablóna (2,2 ks/bm, 100 ks/kart.)</t>
  </si>
  <si>
    <t>PREFA rímsový hák pre polkruhové zľaby</t>
  </si>
  <si>
    <t>PREFA rímsový hák pre hranaté zľaby</t>
  </si>
  <si>
    <t>PREFA hrdlo</t>
  </si>
  <si>
    <t>PREFA teleskopické koleno nastaviteľná dĺžka od 700 do 1.000 mm DN 100</t>
  </si>
  <si>
    <t>PREFA ochranná mriežka proti vtákom  125 x 2.000 x 0,7 mm</t>
  </si>
  <si>
    <t>PREFA zberný kotlík 220/220/330</t>
  </si>
  <si>
    <t>PREFA zberač vody</t>
  </si>
  <si>
    <t>PREFALZ farebné hliníkové zvitky 0,7x1.000 mm</t>
  </si>
  <si>
    <t>PREFALZ farebné hliníkové zvitky 0,7x1.000 mm ( pre oplechovania a lemovky )</t>
  </si>
  <si>
    <t>PREFALZ farebné hliníkové zvitky 0,7x500 mm</t>
  </si>
  <si>
    <t>PREFALZ farebné hliníkové zvitky 0,7x650 mm</t>
  </si>
  <si>
    <t>ŠTVORCOVÝ ZVOD</t>
  </si>
  <si>
    <t>rozmery zľabov:</t>
  </si>
  <si>
    <t>voľba dĺžky zľabov:</t>
  </si>
  <si>
    <t>voľba dĺžky zvodov:</t>
  </si>
  <si>
    <t>montážna platňa</t>
  </si>
  <si>
    <t>Doplnkový pás 1,0 x 1.000 mm (len pre odkvapový pás)</t>
  </si>
  <si>
    <t>PREFA hák polkruhového žľabu spevnený</t>
  </si>
  <si>
    <t>_DEUTSCH</t>
  </si>
  <si>
    <t>_ENGLISCH</t>
  </si>
  <si>
    <t>_FRANZÖSISCH</t>
  </si>
  <si>
    <t>_Tschechisch</t>
  </si>
  <si>
    <t>_Polnisch</t>
  </si>
  <si>
    <t>_Ungarisch</t>
  </si>
  <si>
    <t>_Slowakisch</t>
  </si>
  <si>
    <t>Deutsch</t>
  </si>
  <si>
    <t>_ITALIENISCH</t>
  </si>
  <si>
    <t>English</t>
  </si>
  <si>
    <t>italiano</t>
  </si>
  <si>
    <t>français</t>
  </si>
  <si>
    <t>český</t>
  </si>
  <si>
    <t>polski</t>
  </si>
  <si>
    <t>magyar</t>
  </si>
  <si>
    <t>slovenský</t>
  </si>
  <si>
    <t>Polski</t>
  </si>
  <si>
    <t>PREFA SYSTEM DACHOWY</t>
  </si>
  <si>
    <t>DACHÓWKA KLASYCZNA</t>
  </si>
  <si>
    <t>Nr zwrotny FAX:</t>
  </si>
  <si>
    <t>Adres EMAIL:</t>
  </si>
  <si>
    <t>Firma zamawiająca:</t>
  </si>
  <si>
    <t>Nazwa:</t>
  </si>
  <si>
    <t>Miasto:</t>
  </si>
  <si>
    <t>Adres dostawy:</t>
  </si>
  <si>
    <t>Zamówienie:</t>
  </si>
  <si>
    <t>Powierzchna:</t>
  </si>
  <si>
    <t>Gładka</t>
  </si>
  <si>
    <t>Ilość:</t>
  </si>
  <si>
    <t>szt..</t>
  </si>
  <si>
    <t>Kolor:</t>
  </si>
  <si>
    <t>malowanie proszkowe</t>
  </si>
  <si>
    <t>Kolor</t>
  </si>
  <si>
    <t>Ilość</t>
  </si>
  <si>
    <t xml:space="preserve">Zdjęcie </t>
  </si>
  <si>
    <t>Nazwa</t>
  </si>
  <si>
    <t>Suma</t>
  </si>
  <si>
    <t>rolka</t>
  </si>
  <si>
    <t>rolki</t>
  </si>
  <si>
    <t>Dodatkowe uwagi:</t>
  </si>
  <si>
    <t>PREFA Dachówka klasyczna (600 × 420 mm, 40 szt./opakowanie), z gwoździami (28/30) i patentowymi zaczepami</t>
  </si>
  <si>
    <t>PREFA pas okapowy, brązowy, przewiercony (1,806 × 150 × 1.20 mm)</t>
  </si>
  <si>
    <t>PREFA pas okapowy, żłobkowany  (600 × 150 mm)</t>
  </si>
  <si>
    <t xml:space="preserve">PREFA zaczep do dachówek klasycznych i łupkowych </t>
  </si>
  <si>
    <t>Magazynki do załadunku pistoletu Bull Tack Power
80 zszywek w magazynku, 30 magazynków w opak.</t>
  </si>
  <si>
    <t>wybierz</t>
  </si>
  <si>
    <t>Zapytanie ilościowe:</t>
  </si>
  <si>
    <t>Filtr:</t>
  </si>
  <si>
    <t xml:space="preserve">Zamówienie </t>
  </si>
  <si>
    <t>Serwis:</t>
  </si>
  <si>
    <t>Dziękujemy za wskazanie wymaganej ilości.</t>
  </si>
  <si>
    <t>Dziękujemy za zamówienie.</t>
  </si>
  <si>
    <t>28/25 (1 kg = około 570 szt.)</t>
  </si>
  <si>
    <t>28/30 (1 kg = około 480 szt.)</t>
  </si>
  <si>
    <t>28/40 (1 kg = około 380 szt.)</t>
  </si>
  <si>
    <t>Długość: 26 mm (3,200 szt./opak.)</t>
  </si>
  <si>
    <t>Długość: 35 mm (2,400 szt./opak.)</t>
  </si>
  <si>
    <t>Długość: 26 mm (3,200 szt./opak.), Stal nierdzewna</t>
  </si>
  <si>
    <t>PREFA pas podrynnowy, gładki (230 × 2,000 × 0.7 mm)</t>
  </si>
  <si>
    <t>PREFA siatka ochrona przeciw ptakom (125 × 2,000 × 0.7 mm)</t>
  </si>
  <si>
    <t>PREFA wiatrownica (95 × 2,000 × 0.70 mm)</t>
  </si>
  <si>
    <t>PREFA rynna koszowa stucco (Długość: 3,000 mm)</t>
  </si>
  <si>
    <t>PREFA gąsior dachowy (500 × 1.00 mm), stucco
z wkrętami ze stali nierdzewnej (4.5 × 45 mm) i uszczelnieniem</t>
  </si>
  <si>
    <t>PREFA końcówka gąsiora, stucco</t>
  </si>
  <si>
    <t>PREFA gąsior wentylowany, stucco (1,200 mm), z wkrętami ze stali nierdzewnej i uszczelnieniem</t>
  </si>
  <si>
    <t>PREFA gąsior wentylowany, stucco (3,000 mm), z wkrętami ze stali nierdzewnej i uszczelnieniem</t>
  </si>
  <si>
    <t>PREFA końcówka gąsiora wentylowanego, stucco</t>
  </si>
  <si>
    <t xml:space="preserve">PREFA wkręt ze stali nierdzewnej z uszczelnieniem do gąsiora dachowego </t>
  </si>
  <si>
    <t>PREFA wkręt ze stali nierdzewnej z uszczelnieniem do gąsiora wentylowanego.</t>
  </si>
  <si>
    <t>(4.5 × 45 mm, 250 szt./opak.)</t>
  </si>
  <si>
    <t>(4.5 × 45 mm, 250 szt./opak., kol. naturalny)</t>
  </si>
  <si>
    <t>(4.5 × 60 mm, 100 szt./opak.)</t>
  </si>
  <si>
    <t>(4.5 × 60 mm, 100 szt./opak., kol. naturalny)</t>
  </si>
  <si>
    <t>PREFA pokrywa wywietrzników, do nitowania, gładka
powierzchnia wentylacji: około 30 cm²</t>
  </si>
  <si>
    <t>PREFA wywietrznik dla dachówki klasycznej (300 × 420 mm)
powierzchnia wentylacji: około 30 cm²</t>
  </si>
  <si>
    <t>PREFA właz dachowy (600 × 600 mm); kompletny na drewnianej ramie.</t>
  </si>
  <si>
    <t>PREFA kołnierz do okien dachowych Velux; stucco</t>
  </si>
  <si>
    <t>PREFA kołnierz do okien dachowych Roto; stucco</t>
  </si>
  <si>
    <t>PREFA stopień kominiarski</t>
  </si>
  <si>
    <t>PREFA wspornik ław kominiarskich ze stali ocynkowanej</t>
  </si>
  <si>
    <t>PREFA ława kominiarska ( 250 × 1,200 mm)</t>
  </si>
  <si>
    <t>PREFA ława kominiarska ( 250 × 800 mm)</t>
  </si>
  <si>
    <t>PREFA ława kominiarska ( 250 × 600 mm)</t>
  </si>
  <si>
    <t>PREFA ława kominiarska ( 250 × 420 mm)</t>
  </si>
  <si>
    <t>PREFA hak dachowy zgodny z normą EN 517 B (stal nierdzewna)</t>
  </si>
  <si>
    <t>PREFA hak dachowy zgodny z normą EN 517 B</t>
  </si>
  <si>
    <t>PREFA element wentylacyjny dla dachówek klasycznych, gładki, Ø 80–125 mm</t>
  </si>
  <si>
    <t>PREFA element uniwersalny wentylacyjny dwuczęściowy, gładki, Ø 40–120 mm</t>
  </si>
  <si>
    <t xml:space="preserve">Z izolacją termiczną </t>
  </si>
  <si>
    <t xml:space="preserve">BEZ izolacji termicznej </t>
  </si>
  <si>
    <t>wymiary:</t>
  </si>
  <si>
    <t>zieleń mchu / jasnoszary</t>
  </si>
  <si>
    <t>brązowy / antracytowy</t>
  </si>
  <si>
    <t>ceglasty / czerwony</t>
  </si>
  <si>
    <t>biały PREFA</t>
  </si>
  <si>
    <t>PREFA rura wentylacyjna (Ø 100), przystosowana do rur o wysokie temperaturze (dla rur DN 110)</t>
  </si>
  <si>
    <t>PREFA rura wentylacyjna (Ø 120), przystosowana do rur o wysokie temperaturze (dla rur DN 125)</t>
  </si>
  <si>
    <t>PREFA mankiet zginany (Ø 100–130)</t>
  </si>
  <si>
    <t>PREFA bariera śniegowa do dachówki klasycznej i romb 29 x 29</t>
  </si>
  <si>
    <t>PREFA wspornik bariery śniegowej prętowej</t>
  </si>
  <si>
    <t>PREFA pręt okrągły (Ø 15 × 3,000 mm) do wspornika bariery śniegowej prętowej</t>
  </si>
  <si>
    <t>PREFA zakończenie bariery śniegowej prętowej</t>
  </si>
  <si>
    <t>PREFA rurowy system ochrony przed śniegiem (205 × 66 × 303 mm)</t>
  </si>
  <si>
    <t>PREFA wyjmowana rura dla rurowego systemu ochrony przed śniegiem (3,000 mm)</t>
  </si>
  <si>
    <t xml:space="preserve">PREFA łamacz lodu do prętowych barier przeciw śniegowych </t>
  </si>
  <si>
    <t xml:space="preserve">PREFA element wykończeniowy do barier śniegowych </t>
  </si>
  <si>
    <t>PREFA hak przeciwśniegowy do warunków górskich</t>
  </si>
  <si>
    <t>PREFA daszek kominowy ( 700 × 700 mm)</t>
  </si>
  <si>
    <t>PREFA daszek kominowy ( 800 × 800 mm)</t>
  </si>
  <si>
    <t>PREFA daszek kominowy ( 1,000 × 700 mm)</t>
  </si>
  <si>
    <t>PREFA daszek kominowy ( 1,100 × 800 mm)</t>
  </si>
  <si>
    <t>PREFA daszek kominowy ( 1,500 × 800 mm)</t>
  </si>
  <si>
    <t xml:space="preserve">Profil mocujący daszka kominowego </t>
  </si>
  <si>
    <t>PREFA profil płaski (35 × 7 × 3,000 mm)</t>
  </si>
  <si>
    <t>PREFA kartusz silikonu</t>
  </si>
  <si>
    <t>PREFA specjalny zestaw klejący</t>
  </si>
  <si>
    <t>PREFA narzędzie formujące</t>
  </si>
  <si>
    <t>PREFA narzędzie kantujące</t>
  </si>
  <si>
    <t>jasnoszary / jasnoszary</t>
  </si>
  <si>
    <t>Technologia aplikacji</t>
  </si>
  <si>
    <t>Wersja:</t>
  </si>
  <si>
    <t>Prefalz listwa 0.7 × 1,000 mm (do wykończeń)</t>
  </si>
  <si>
    <t>DP =</t>
  </si>
  <si>
    <t>R.16 =</t>
  </si>
  <si>
    <t>DR44x44 =</t>
  </si>
  <si>
    <t>DS =</t>
  </si>
  <si>
    <t>DR29x29 =</t>
  </si>
  <si>
    <t>FX.12 =</t>
  </si>
  <si>
    <t>PR =</t>
  </si>
  <si>
    <t>QR =</t>
  </si>
  <si>
    <t>RI =</t>
  </si>
  <si>
    <t>Nyelv</t>
  </si>
  <si>
    <t>PREFA TETŐFEDÉSI RENDSZEREK</t>
  </si>
  <si>
    <t>CLASSIC ELEM</t>
  </si>
  <si>
    <t>VÁLASZFAX:</t>
  </si>
  <si>
    <t>VÁLASZ-EMAIL:</t>
  </si>
  <si>
    <t>Cég / megrendelő:</t>
  </si>
  <si>
    <t>Név:</t>
  </si>
  <si>
    <t>Utca:</t>
  </si>
  <si>
    <t>Heység:</t>
  </si>
  <si>
    <t>Kapcsolattartó:</t>
  </si>
  <si>
    <t>Szállítási cím:</t>
  </si>
  <si>
    <t>Komissió:</t>
  </si>
  <si>
    <t>Helység:</t>
  </si>
  <si>
    <t>Felület:</t>
  </si>
  <si>
    <t>stukkó</t>
  </si>
  <si>
    <t>sima</t>
  </si>
  <si>
    <t>Mennyiségi egység:</t>
  </si>
  <si>
    <t>CSE</t>
  </si>
  <si>
    <t>db</t>
  </si>
  <si>
    <t>Szín:</t>
  </si>
  <si>
    <t>porszórt</t>
  </si>
  <si>
    <t>egység</t>
  </si>
  <si>
    <t>ábra</t>
  </si>
  <si>
    <t>megnevezés</t>
  </si>
  <si>
    <t>összesen</t>
  </si>
  <si>
    <t>esetleg</t>
  </si>
  <si>
    <t>fm</t>
  </si>
  <si>
    <t>doboz</t>
  </si>
  <si>
    <t>csomag</t>
  </si>
  <si>
    <t>tekercs</t>
  </si>
  <si>
    <t>tekercsek</t>
  </si>
  <si>
    <t>megjegyzés:</t>
  </si>
  <si>
    <t>PREFA Classic elem (600 x 420 mm, 40db/doboz) bordás szeggel (28/30) és rögzítőhafterral</t>
  </si>
  <si>
    <t>PREFA párkányelem barna, előlyukasztott (1.806x150x1,20 mm)</t>
  </si>
  <si>
    <t>PREFA toldó elem (lépcsős eresz kialakításhoz 600 x 150 mm)</t>
  </si>
  <si>
    <t>PREFA rögzítő hafter Classic és Zsindely elemhez</t>
  </si>
  <si>
    <t>Hafter tár Bull Tack  szögbelövőhöz 80db/tár, 30 tár/doboz</t>
  </si>
  <si>
    <t>kiválasztás</t>
  </si>
  <si>
    <t>mennyiségszámítás / árajánlatkérés</t>
  </si>
  <si>
    <t>szűrő:</t>
  </si>
  <si>
    <t>megrendelés</t>
  </si>
  <si>
    <t>szolgáltatás:</t>
  </si>
  <si>
    <t>Köszönjük árajánlatkérését</t>
  </si>
  <si>
    <t>Köszönjük rendelését</t>
  </si>
  <si>
    <t>PREFA bordásszeg horganyzott</t>
  </si>
  <si>
    <t>28/25 (1 kg = kb. 570 db.)</t>
  </si>
  <si>
    <t>28/30 (1 kg = kb. 480 db.)</t>
  </si>
  <si>
    <t>28/40 (1 kg = kb. 380 db.)</t>
  </si>
  <si>
    <t>Bordásszeg Bull Tack szögbelövőhöz</t>
  </si>
  <si>
    <t>Hossz 26 mm (3.200 db/doboz)</t>
  </si>
  <si>
    <t>Hossz 35 mm (2.400 db/doboz)</t>
  </si>
  <si>
    <t>Hossz 26 mm (3.200 db/doboz) rozsdamentes</t>
  </si>
  <si>
    <t>PREFA szellőzőszalag</t>
  </si>
  <si>
    <t>PREFA madárrács barna/antracit (125x2.000x0,7mm)</t>
  </si>
  <si>
    <t>PREFA oromszegély (95 x 2.000 x 0,70 mm)</t>
  </si>
  <si>
    <t>PREFA biztonsági vápa stukkó (3.000 mm hossz)</t>
  </si>
  <si>
    <t>PREFA él- és taréjgerinc elem 500 x 1,00 mm stukkó, 4,5x45mm rozsdamentes csavarral és tömítő alátéttel</t>
  </si>
  <si>
    <t>PREFA kezdő elem él- és taréjgerinc elemhez stukkó</t>
  </si>
  <si>
    <t>PREFA Jet Lüfter szellőző gerincelem (1.200mm) rozsdamentes csavarral és tömítő alátéttel</t>
  </si>
  <si>
    <t>PREFA Jet Lüfter szellőző gerincelem (3.000mm) rozsdamentes csavarral és tömítő alátéttel</t>
  </si>
  <si>
    <t>PREFA végelem szellőző gerincelemhez stukkó</t>
  </si>
  <si>
    <t>Rozsdamentes acél csavar tömítő alátéttel él- és taréjgerinc elemhez</t>
  </si>
  <si>
    <t>Rozsdamentes acél csavar tömítő alátéttel szellőző gerincelemhez</t>
  </si>
  <si>
    <t>(4,5 x 45 mm, 250 db/dob)</t>
  </si>
  <si>
    <t>(4,5 x 45 mm, 250 db/dob, natúr)</t>
  </si>
  <si>
    <t>(4,5 x 60 mm, 100 db/dob)</t>
  </si>
  <si>
    <t>(4,5 x 60 mm, 100 db/dob, natúr)</t>
  </si>
  <si>
    <t>PREFA pontszellőző sapka sima. Szellőző keresztmetszet kb. 30 cm²</t>
  </si>
  <si>
    <t>PREFA szellőzőelem Classic elemhez 300x420mm. Szellőző keresztmetszet kb. 30 cm²</t>
  </si>
  <si>
    <t>PREFA tetőkibúvó ablak (600x600mm) komplett, fa kerettel</t>
  </si>
  <si>
    <t>PREFA burkolókeret Velux tetősíkablakhoz, stukkó</t>
  </si>
  <si>
    <t>PREFA burkolókeret Roto tetősíkablakhoz, stukkó</t>
  </si>
  <si>
    <t>PREFA tipegő két talppal</t>
  </si>
  <si>
    <t xml:space="preserve">PREFA járórács tartóelem horganyzott </t>
  </si>
  <si>
    <t>PREFA járórács (250 x 1.200 mm)</t>
  </si>
  <si>
    <t>PREFA járórács (250 x 800 mm)</t>
  </si>
  <si>
    <t>PREFA járórács (250 x 600 mm)</t>
  </si>
  <si>
    <t>PREFA járórács (250 x 420 mm)</t>
  </si>
  <si>
    <t>PREFALZ kiegészítő szalag</t>
  </si>
  <si>
    <t>PREFA járórács összekötő elem horganyzott</t>
  </si>
  <si>
    <t>PREFA tetőbiztonsági kampó EN 517B szabvány szerinti, talpakon</t>
  </si>
  <si>
    <t>PREFA tetőbiztonsági kampó EN 517B szabvány szerinti</t>
  </si>
  <si>
    <t>PREFA kivezető elem Classic elemhez, sima, Ø 80 - 125 mm</t>
  </si>
  <si>
    <t>PREFA univerzális kivezető elem, 2-részes, sima, Ø 40 - 120 mm</t>
  </si>
  <si>
    <t>hőszigeteléssel</t>
  </si>
  <si>
    <t>hőszigetelés nélkül</t>
  </si>
  <si>
    <t>méretek:</t>
  </si>
  <si>
    <t>mohazöld/világosszürke</t>
  </si>
  <si>
    <t>barna/antracit</t>
  </si>
  <si>
    <t>téglavörös/rozsdavörös</t>
  </si>
  <si>
    <t>prefafehér/prefafehér</t>
  </si>
  <si>
    <t xml:space="preserve">PREFA szellőzőcső derékszögű átvezetéssel Ø 100, sima </t>
  </si>
  <si>
    <t>PREFA szellőzőcső Ø 100, 110 PVC csőhöz</t>
  </si>
  <si>
    <t>PREFA szellőzőcső Ø 120, 125 PVC csőhöz</t>
  </si>
  <si>
    <t>PREFA csőgallér Ø  100-130</t>
  </si>
  <si>
    <t>PREFA hóvágó Classic és Rombusz elemhez 29x29</t>
  </si>
  <si>
    <t>PREFA hófogótartó</t>
  </si>
  <si>
    <t>PREFA hófogórúd 15 Ø x 3.000 mm)</t>
  </si>
  <si>
    <t>PREFA záróelem hófogóhoz</t>
  </si>
  <si>
    <t>PREFA hófogórendszer (205 x 66 x 303 mm)</t>
  </si>
  <si>
    <t>PREFA hófogórúd hófogórendszerhez (3.000 mm)</t>
  </si>
  <si>
    <t>PREFA hófogórúd rendszer jégkarom</t>
  </si>
  <si>
    <t>PREFA hófogórúd rendszer záróelem</t>
  </si>
  <si>
    <t>PREFA hófogórönk tartó</t>
  </si>
  <si>
    <t>PREFA kéményfedél 700 x 700 mm</t>
  </si>
  <si>
    <t>PREFA kéményfedél 800 x 800 mm</t>
  </si>
  <si>
    <t>PREFA kéményfedél 1000 x 700 mm</t>
  </si>
  <si>
    <t>PREFA kéményfedél 1.100 x 800 mm</t>
  </si>
  <si>
    <t>PREFA kéményfedél 1.500 x 800 mm</t>
  </si>
  <si>
    <t>PREFA kéményfedél tartó</t>
  </si>
  <si>
    <t>PREFA laposprofil (35 x 7 x 3.000 mm)</t>
  </si>
  <si>
    <t>PREFA lyuktakaró sapka</t>
  </si>
  <si>
    <t>PREFA szilikon tubus</t>
  </si>
  <si>
    <t>PREFA speciális ragasztó készlet</t>
  </si>
  <si>
    <t>PREFA falc hajlító vas</t>
  </si>
  <si>
    <t>PREFA fesztővas</t>
  </si>
  <si>
    <t>PREFA perforált lemez lyukátmérő 5mm, kb 24kg/tekercs (0,7 x 1.000mm)</t>
  </si>
  <si>
    <t>Kiegészítő szalag 1,0x1.000 mm (csak rögzítőszegélyhez)</t>
  </si>
  <si>
    <t>világosszürke/világosszürke</t>
  </si>
  <si>
    <t>Alkalmazástechnika</t>
  </si>
  <si>
    <t>Állapot:</t>
  </si>
  <si>
    <t>PREFALZ kiegészítő szalag 1,0x1.000 mm (csak rögzítőszegélyhez)</t>
  </si>
  <si>
    <t>PREFALZ kiegészítő szalag 0,7x1.000 mm (kiegészítő bádogos szerkezetekhez)</t>
  </si>
  <si>
    <t>0,75 l doboz</t>
  </si>
  <si>
    <t>1: válassza ki a kívánt terméket</t>
  </si>
  <si>
    <t>195 mm hosszú</t>
  </si>
  <si>
    <t xml:space="preserve">2: A szürke mezőkbe írhat, vagy a legördülő listából választhat </t>
  </si>
  <si>
    <t>296 ml, kb. 4fm-re elég</t>
  </si>
  <si>
    <t>3: Az opciókat tartalmazó mezőket kitöltheti</t>
  </si>
  <si>
    <t>4 x 10 mm</t>
  </si>
  <si>
    <t>4: Ha színnek a porszórt színt adta meg, külön mezőben adhatja meg a választott színt</t>
  </si>
  <si>
    <t>50 ml tubus ecsettel</t>
  </si>
  <si>
    <t>Lefolyási keresztmetszet:</t>
  </si>
  <si>
    <t>Használati útmutató</t>
  </si>
  <si>
    <t>TETŐ VÍZELVEZETÉS</t>
  </si>
  <si>
    <t>FX.12 TETŐFEDŐ PANEL</t>
  </si>
  <si>
    <t>R.16 TETŐFEDŐ ELEM</t>
  </si>
  <si>
    <t>29X29 TETŐFEDŐ ROMBUSZ</t>
  </si>
  <si>
    <t>44X44 TETŐFEDŐ ROMBUSZ</t>
  </si>
  <si>
    <t>TETŐFEDŐ ZSINDELY</t>
  </si>
  <si>
    <t>Ez a méret nem érhető el</t>
  </si>
  <si>
    <t>Méret választása:</t>
  </si>
  <si>
    <t>rövid</t>
  </si>
  <si>
    <t>hosszú</t>
  </si>
  <si>
    <t>Hossz kiválasztása</t>
  </si>
  <si>
    <t>normál</t>
  </si>
  <si>
    <t>Ø100 mm, mely 110 mm PVC csőbe köthető be</t>
  </si>
  <si>
    <t>Ø115 mm, mely 125 mm PVC csőbe köthető be</t>
  </si>
  <si>
    <t>PREFA takaróelem lefolyócsőbilincs-szárhoz</t>
  </si>
  <si>
    <t>PREFA lefolyólánc 5 mm</t>
  </si>
  <si>
    <t>PREFA lefolyócső 1,6 mm DN 100</t>
  </si>
  <si>
    <t>PREFA lefolyócső DN 60 hegesztett</t>
  </si>
  <si>
    <t>PREFA lefolyócsövek</t>
  </si>
  <si>
    <t>PREFA alumínium függő ereszcsatorna külső védőfóliával</t>
  </si>
  <si>
    <t>PREFA alumínium négyszögszelvényű ereszcsatorna</t>
  </si>
  <si>
    <t>PREFA alumínium forrasztópáka</t>
  </si>
  <si>
    <t>PREFA villámhárító rögzítő csipesz</t>
  </si>
  <si>
    <t>PREFA merevítő elem</t>
  </si>
  <si>
    <t>PREFA fedél tetőkibúvó ablakhoz</t>
  </si>
  <si>
    <t>PREFA tetőkibúvó ablak fa kerettel (belső méret 600x600mm)</t>
  </si>
  <si>
    <t>PREFA fedél tetőkibúvó ablakhoz (belső méret 600x600mm)</t>
  </si>
  <si>
    <t>PREFA tetőfedő rombusz (29x29 mm, 120 db./doboz)</t>
  </si>
  <si>
    <t>PREFA tetőfedő rombusz (440 x 440 mm, 42 db./doboz)</t>
  </si>
  <si>
    <t>PREFA ereszcsatorna rendszerek</t>
  </si>
  <si>
    <t>PREFA tetőfedő zsindely (420 x 240 mm)</t>
  </si>
  <si>
    <t>PREFA Dilatáció</t>
  </si>
  <si>
    <t>PREFA rögzítési pont EN 795 szerint, A osztály (max. 650mm lemezsávszélesség)</t>
  </si>
  <si>
    <t>PREFA sarok összekötő elem hófogócsőhöz</t>
  </si>
  <si>
    <t>PREFA kivezető elem R.16 tetőfedő elemhez és FX.12 panelhez, sima, Ø 80 - 125 mm</t>
  </si>
  <si>
    <t>PREFA kivezető elem 29x29 tetőfedő rombuszhoz, sima, Ø 80 - 125 mm</t>
  </si>
  <si>
    <t>PREFA kivezető elem 44x44 tetőfedő rombuszhoz, sima, Ø 80 - 125 mm</t>
  </si>
  <si>
    <t>PREFA kivezető elem tetőfedő zsindelyhez</t>
  </si>
  <si>
    <t>PREFA cseppentő lemez 230 x 2.000 x 0.7 mm</t>
  </si>
  <si>
    <t>PREFA cseppentő lemez sima</t>
  </si>
  <si>
    <t>PREFA jégkarom</t>
  </si>
  <si>
    <t>PREFA végelem (1,48 db./fm, 40 db./doboz)</t>
  </si>
  <si>
    <t>PREFA végelem (2,2 db./fm, 100 db./doboz)</t>
  </si>
  <si>
    <t>PREFA szellőzőcső Ø 100</t>
  </si>
  <si>
    <t>PREFA szellőzőcső Ø 120</t>
  </si>
  <si>
    <t>PREFA falczselé</t>
  </si>
  <si>
    <t>PREFA pontszellőző stukkó tetőfedő zsindelyhez 420 x 240 mm
szellőző keresztmetszet kb. 30 cm2</t>
  </si>
  <si>
    <t>PREFA pontszellőző sapka, szellőző keresztmetszet kb. 30 cm2</t>
  </si>
  <si>
    <t>PREFA FX.12 tetőfedő panel rövid (700 x 420 mm)</t>
  </si>
  <si>
    <t>PREFA FX.12 tetőfedő panel hosszú (1.400 x 420 mm)</t>
  </si>
  <si>
    <t>PREFA gumitömítés 110 mm-es PVC csőhöz</t>
  </si>
  <si>
    <t>PREFA rögzítő elem</t>
  </si>
  <si>
    <t>PREFA függő ereszcsatorna dilatációs elem takaróelemmel</t>
  </si>
  <si>
    <t>PREFA függő ereszcsatorna dilatációs elem takaróelem nélkül</t>
  </si>
  <si>
    <t>PREFA fakeret
(belső méret 600 x 600 mm)</t>
  </si>
  <si>
    <t>PREFA Hydrolakk</t>
  </si>
  <si>
    <t>PREFA négyszögszelvényű ereszcsatorna dilatációs elem takaróelemmel</t>
  </si>
  <si>
    <t>PREFA négyszögszelvényű ereszcsatorna dilatációs elem takaróelem nélkül</t>
  </si>
  <si>
    <t>PREFA négyszögszelvényű ereszcsatorna végelem</t>
  </si>
  <si>
    <t>PREFA négyszögszelvényű ereszcsatorna betorkoló elem</t>
  </si>
  <si>
    <t>PREFA négyszögszelvényű ereszcsatorna külső szeglet 90°</t>
  </si>
  <si>
    <t>PREFA négyszögszelvényű ereszcsatorna belső szeglet 90°</t>
  </si>
  <si>
    <t>PREFA átvezető elem korcolt fedéshez ragasztós Ø 120-170 mm</t>
  </si>
  <si>
    <t>PREFA átvezető elem korcolt fedéshez ragasztós Ø 170-210 mm</t>
  </si>
  <si>
    <t>PREFA átvezető elem korcolt fedéshez ragasztós Ø 50-65 mm</t>
  </si>
  <si>
    <t>PREFA átvezető elem korcolt fedéshez ragasztós Ø 80-125 mm</t>
  </si>
  <si>
    <t>PREFA gömbölyített ereszcsatorna végelem</t>
  </si>
  <si>
    <t>PREFA lombkosár (csak barna)</t>
  </si>
  <si>
    <t>PREFA járórácstartó</t>
  </si>
  <si>
    <t>PREFA M10 menetes szár</t>
  </si>
  <si>
    <t>PREFA NIRO nadrághafter</t>
  </si>
  <si>
    <t>PREFA NIRO csúszó nadrághafter</t>
  </si>
  <si>
    <t>PREFA NIRO csúszó hafter max. 12 m sarnihosszig</t>
  </si>
  <si>
    <t>PREFA NIRO derékszögű állóhafter</t>
  </si>
  <si>
    <t>PREFA patentszegecs</t>
  </si>
  <si>
    <t>PREFA szögletes lefolyó</t>
  </si>
  <si>
    <t xml:space="preserve">PREFA szögletes betorkoló elem </t>
  </si>
  <si>
    <t>PREFA szögletes lefolyó tisztítónyílással</t>
  </si>
  <si>
    <t>PREFA szögletes lefolyó átvezető elem</t>
  </si>
  <si>
    <t>PREFA szögletes attikafal betorkoló elem</t>
  </si>
  <si>
    <t>PREFA vízgyűjtő üst szögletes lefolyóhoz 220/220/336</t>
  </si>
  <si>
    <t>PREFA szögletes lefolyó könyök 72° rövid</t>
  </si>
  <si>
    <t>PREFA szögletes lefolyó 72° hosszú</t>
  </si>
  <si>
    <t>PREFA vízlopó</t>
  </si>
  <si>
    <t>PREFA ereszcsatorna végelem</t>
  </si>
  <si>
    <t>PREFA ereszcsatorna tartó</t>
  </si>
  <si>
    <t>PREFA négyszögszelvényű ereszcsatorna tartó</t>
  </si>
  <si>
    <t>PREFA ereszcsatorna tartó elem élére hajlított</t>
  </si>
  <si>
    <t>PREFA ereszcsatorna tartó elem svájci</t>
  </si>
  <si>
    <t>PREFA csatornatartó-szeg 5,0 x 86</t>
  </si>
  <si>
    <t>PREFA betorkoló elem</t>
  </si>
  <si>
    <t>PREFA ereszcsatorna szeglet külső 90°</t>
  </si>
  <si>
    <t>PREFA ereszcsatorna szeglet belső 90°</t>
  </si>
  <si>
    <t>PREFA hófogócső 28 x 2 x 3.000 mmtoldóelemmel</t>
  </si>
  <si>
    <t>PREFA lefolyócső-ív 40°</t>
  </si>
  <si>
    <t>PREFA lefolyócső-ív 72°</t>
  </si>
  <si>
    <t>PREFA lefolyócső-ív 85°</t>
  </si>
  <si>
    <t>PREFA csőbecsatlakozás</t>
  </si>
  <si>
    <t>PREFA kónikus csőbecsatlakozás</t>
  </si>
  <si>
    <t>PREFA lefolyócsőbilincs állványcsőhöz</t>
  </si>
  <si>
    <t>PREFA csőbilincs M10 menettel szár nélkül</t>
  </si>
  <si>
    <t>PREFA csőbilincs tartó csavar</t>
  </si>
  <si>
    <t>PREFA lefolyócsőbilincs-szár dübellel passzívházhoz</t>
  </si>
  <si>
    <t>PREFA lefolyócső tartó bilincs passzívházhoz</t>
  </si>
  <si>
    <t>PREFA csőtoldó</t>
  </si>
  <si>
    <t>PREFA kétcsöves hófogótartó</t>
  </si>
  <si>
    <t>PREFA egycsöves hófogótartó</t>
  </si>
  <si>
    <t>PREFA hófogótartó ovális lyukkal srégfalchoz</t>
  </si>
  <si>
    <t>PREFA fekvő ereszcsatorna külső oldali védőfóliával</t>
  </si>
  <si>
    <t>PREFA fekvő ereszcsatorna végelem</t>
  </si>
  <si>
    <t>PREFA fekvő ereszcsatorna tartó</t>
  </si>
  <si>
    <t>PREFA párkányelem (1.800 x 158 x 1.00 mm)</t>
  </si>
  <si>
    <t>PREFA hóvágó R.16 und FX.12 tetőfedő elemekhez</t>
  </si>
  <si>
    <t>PREFA hóvágó 29x29 tetőfedő rombuszhoz</t>
  </si>
  <si>
    <t>PREFA hóvágó 44x44 tetőfedő rombuszhoz</t>
  </si>
  <si>
    <t>PREFA hóvágó tetőfedő zsindelyhez</t>
  </si>
  <si>
    <t xml:space="preserve">PREFA ferde betorkoló </t>
  </si>
  <si>
    <t>PREFA lábazati elem 60mm előállással</t>
  </si>
  <si>
    <t>PREFA attikafal vízgyűjtő üst</t>
  </si>
  <si>
    <t>PREFA állványcső tisztítónyílással</t>
  </si>
  <si>
    <t>PREFA állványcső-csőkarika</t>
  </si>
  <si>
    <t>PREFA indítóelem (1,48 db./fm, 40 db/doboz)</t>
  </si>
  <si>
    <t>PREFA indítóelem (2,2 db./fm, 100 db/doboz)</t>
  </si>
  <si>
    <t>PREFA szár nélküli csatornatartó</t>
  </si>
  <si>
    <t>PREFA szár nélküli csatornatartó négyszögszelvényű csatornához</t>
  </si>
  <si>
    <t>PREFA fekvő ereszcsatorna betorkoló elem</t>
  </si>
  <si>
    <t>PREFA teleszkópos hattyúnyak 700 - 1.000 mm DN 106</t>
  </si>
  <si>
    <t>PREFA madárrács 125 x 2.000 x 0,7 mm</t>
  </si>
  <si>
    <t>PREFA vízgyűjtő üst 220/220/336</t>
  </si>
  <si>
    <t>PREFA automata vízlopó</t>
  </si>
  <si>
    <t>PREFALZ bevonatos alumínium szalag 0,7x1.000 mm</t>
  </si>
  <si>
    <t>PREFALZ bevonatos alumínium szalag 0,7x1.000 mm (kiegészítő bádogos szerkezetekhez)</t>
  </si>
  <si>
    <t>PREFALZ bevonatos alumínium szalag 0,7x500 mm</t>
  </si>
  <si>
    <t>PREFALZ bevonatos alumínium szalag 0,7x650 mm</t>
  </si>
  <si>
    <t>SZÖGLETES LEFOLYÓ</t>
  </si>
  <si>
    <t>Ereszcsatorna méretek:</t>
  </si>
  <si>
    <t>Ereszcsatorna hossza:</t>
  </si>
  <si>
    <t>Lefolyócső hossza:</t>
  </si>
  <si>
    <t>fali rögzítő lap</t>
  </si>
  <si>
    <t>_Schwedisch</t>
  </si>
  <si>
    <t>_Niederländisch</t>
  </si>
  <si>
    <t>PREFA príponka na strešnú šablónu 29x29</t>
  </si>
  <si>
    <t>PREFA NIRO ryhované klince</t>
  </si>
  <si>
    <t>PREFA čelo hranatého žľabu 500 ľavé</t>
  </si>
  <si>
    <t>PREFA čelo hranatého žľabu 500 pravé</t>
  </si>
  <si>
    <t>PREFA hafter 29x29 tetőfedő rombuszhoz</t>
  </si>
  <si>
    <t>PREFA NIRO bordás szeg</t>
  </si>
  <si>
    <t>PREFA négyszögszelvényű ereszcsatorna végelem 500 jobbos</t>
  </si>
  <si>
    <t>PREFA négyszögszelvényű ereszcsatorna végelem 500 balos</t>
  </si>
  <si>
    <t>Nederlands</t>
  </si>
  <si>
    <t>Artikel Nr.</t>
  </si>
  <si>
    <t xml:space="preserve">P.10 anthrazit </t>
  </si>
  <si>
    <t xml:space="preserve">P.10 oxydrot </t>
  </si>
  <si>
    <t>P.10 hellgrau</t>
  </si>
  <si>
    <t xml:space="preserve">P.10 braun </t>
  </si>
  <si>
    <t xml:space="preserve">P.10 steingrau </t>
  </si>
  <si>
    <t xml:space="preserve">P.10 ziegelrot </t>
  </si>
  <si>
    <t xml:space="preserve">P.10 nussbraun </t>
  </si>
  <si>
    <t>P.10 moosgrün</t>
  </si>
  <si>
    <t xml:space="preserve">P.10 schwarz </t>
  </si>
  <si>
    <t>blank</t>
  </si>
  <si>
    <t>steingrau</t>
  </si>
  <si>
    <t>Deckle + Rahmen</t>
  </si>
  <si>
    <t>Fenster-deckel</t>
  </si>
  <si>
    <t xml:space="preserve">635650  </t>
  </si>
  <si>
    <t xml:space="preserve">513154  </t>
  </si>
  <si>
    <t xml:space="preserve">513153  </t>
  </si>
  <si>
    <t xml:space="preserve">hellgrau </t>
  </si>
  <si>
    <t xml:space="preserve">513029  </t>
  </si>
  <si>
    <t xml:space="preserve">513083  </t>
  </si>
  <si>
    <t xml:space="preserve">121021  </t>
  </si>
  <si>
    <t>121011</t>
  </si>
  <si>
    <t>121010</t>
  </si>
  <si>
    <t>121020</t>
  </si>
  <si>
    <t>110217</t>
  </si>
  <si>
    <t>silbermet</t>
  </si>
  <si>
    <t>bsqr150139</t>
  </si>
  <si>
    <t>bsqr150119</t>
  </si>
  <si>
    <t>3m</t>
  </si>
  <si>
    <t>1,5m</t>
  </si>
  <si>
    <t>150122</t>
  </si>
  <si>
    <t>25er3m</t>
  </si>
  <si>
    <t>28er3m</t>
  </si>
  <si>
    <t>33er3m</t>
  </si>
  <si>
    <t>40er3m</t>
  </si>
  <si>
    <t>25er6m</t>
  </si>
  <si>
    <t>28er6m</t>
  </si>
  <si>
    <t>33er6m</t>
  </si>
  <si>
    <t>40er6m</t>
  </si>
  <si>
    <t>kurz25er</t>
  </si>
  <si>
    <t>norm25er</t>
  </si>
  <si>
    <t>norm28er</t>
  </si>
  <si>
    <t>kurz28er</t>
  </si>
  <si>
    <t>lang28er</t>
  </si>
  <si>
    <t>norm33er</t>
  </si>
  <si>
    <t>kurz33er</t>
  </si>
  <si>
    <t>lang33er</t>
  </si>
  <si>
    <t>norm40er</t>
  </si>
  <si>
    <t>180–220 mm</t>
  </si>
  <si>
    <t>180–260 mm</t>
  </si>
  <si>
    <t>100–160 mm</t>
  </si>
  <si>
    <t>100–180 mm</t>
  </si>
  <si>
    <t>2: Sämtliche Felder, die grau hinterlegt sind, können befüllt werden oder sind mit einer vordefinierten Auswahlliste hinterlegt.</t>
  </si>
  <si>
    <t>PREFA Dachrautenhaft 29 × 29</t>
  </si>
  <si>
    <t>Prefalz Farbaluminiumband 0,7 × 650 mm</t>
  </si>
  <si>
    <t>Prefalz Farbaluminiumband 0,7 × 500 mm</t>
  </si>
  <si>
    <t>Prefalz Farbaluminiumband 0,7 × 1.000 mm (für Zusatzverblechungen)</t>
  </si>
  <si>
    <t>Prefalz Farbaluminiumband 0,7 × 1.000 mm</t>
  </si>
  <si>
    <t>PREFA Vogelschutzgitter 125 × 2.000 × 0,7 mm</t>
  </si>
  <si>
    <t>PREFA Teleskoprohrbogen, längenverstellbar von 700 bis 1.000 mm, DN 100</t>
  </si>
  <si>
    <t>PREFA Stirnbretthaken für Kastenrinnen</t>
  </si>
  <si>
    <t>PREFA Sockelknie 60 mm Ausladung</t>
  </si>
  <si>
    <t>PREFA Schneestopper für Dachraute 44 × 44</t>
  </si>
  <si>
    <t>PREFA Schneestopper für Dachraute 29 × 29</t>
  </si>
  <si>
    <t>PREFA Saumstreifen (1.800 × 158 × 1,00 mm)</t>
  </si>
  <si>
    <t>PREFA Rohrschellenhalter (für WDVS)</t>
  </si>
  <si>
    <t>PREFA Rohrschellendübel mit Dorn (für WDVS)</t>
  </si>
  <si>
    <t>PREFA Rohr 28 × 2 × 3.000 mm, inkl. Muffe</t>
  </si>
  <si>
    <t>PREFA Rinnenhaken-Nagel 5,0 × 80</t>
  </si>
  <si>
    <t>PREFA Quadratrohr-Wasserfangkasten 220/220/330</t>
  </si>
  <si>
    <t>PREFA Quadratrohr-Speiereinmündung</t>
  </si>
  <si>
    <t>PREFA Quadratrohr-Muffe</t>
  </si>
  <si>
    <t>PREFA Quadratrohrkessel für Kastenrinne</t>
  </si>
  <si>
    <t>PREFA Niro Winkelschiebehaft, Scharenlänge bis 12 m</t>
  </si>
  <si>
    <t>PREFA Klebeeinfassung für Falzdächer ⌀ 80–125 mm</t>
  </si>
  <si>
    <t>PREFA Klebeeinfassung für Falzdächer ⌀ 50–65 mm</t>
  </si>
  <si>
    <t>PREFA Klebeeinfassung für Falzdächer ⌀ 170–210 mm</t>
  </si>
  <si>
    <t>PREFA Klebeeinfassung für Falzdächer ⌀ 120–170 mm</t>
  </si>
  <si>
    <t>PREFA Gummidichtung passend für HT/KG (NW 110 mm)</t>
  </si>
  <si>
    <t>PREFA FX.12 Dachpanel lang (1.400 × 420 mm)</t>
  </si>
  <si>
    <t>PREFA FX.12 Dachpanel kurz (700 × 420 mm)</t>
  </si>
  <si>
    <t>PREFA Froschmaullukenhaube zum Aufnieten, Lüftungsquerschnitt ca. 30 cm²</t>
  </si>
  <si>
    <t>PREFA Entlüftungsrohr ⌀ 120, passend für HT-Rohr NW 125</t>
  </si>
  <si>
    <t>PREFA Entlüftungsrohr ⌀ 120</t>
  </si>
  <si>
    <t>PREFA Entlüftungsrohr ⌀ 100, passend für HT-Rohr NW 110</t>
  </si>
  <si>
    <t>PREFA Entlüftungsrohr ⌀ 100</t>
  </si>
  <si>
    <t>PREFA Einlaufblech 230 × 2.000 × 0,7 mm</t>
  </si>
  <si>
    <t>PREFA Einfassungsplatte für Dachraute 44 × 44, glatt, ⌀ 80–125 mm</t>
  </si>
  <si>
    <t>PREFA Einfassungsplatte für Dachraute 29 × 29, glatt, ⌀ 80–125 mm</t>
  </si>
  <si>
    <t>PREFA Einfassungsplatte für Dachplatte R.16 und FX.12, glatt, ⌀ 80–125 mm</t>
  </si>
  <si>
    <t>PREFA Einzelanschlagspunkt (EAP) nach EN 795, Klasse A (bis Bahnenbreite 650)</t>
  </si>
  <si>
    <t>PREFA Dachschindel (420 × 240 mm)</t>
  </si>
  <si>
    <t>PREFA Dachraute (440 × 440 mm, 42 Stk./Kart.)</t>
  </si>
  <si>
    <t>PREFA Dachraute (29 × 29 mm, 120 Stk./Kart.)</t>
  </si>
  <si>
    <t>PREFA Überbügel</t>
  </si>
  <si>
    <t>PREFA Aluminium-Lötstäbe</t>
  </si>
  <si>
    <t>⌀ 115 mm passend für HT/KG (NW 125 mm)</t>
  </si>
  <si>
    <t>⌀ 100 mm passend für HT/KG (NW 110 mm)</t>
  </si>
  <si>
    <t>DACHRAUTE 44 × 44</t>
  </si>
  <si>
    <t>PREFA Schneestopper für Dachplatte und DACHRAUTE 29 × 29</t>
  </si>
  <si>
    <t>DACHRAUTE 29 × 29</t>
  </si>
  <si>
    <t>80 ⌀</t>
  </si>
  <si>
    <t>60 ⌀ × 3.000 mm</t>
  </si>
  <si>
    <t>6.000 × 375 mm</t>
  </si>
  <si>
    <t>500/35 × 7</t>
  </si>
  <si>
    <t>5,0 × 80 mm</t>
  </si>
  <si>
    <t>400/30 × 7</t>
  </si>
  <si>
    <t>400 mm / 100 × 100 mm</t>
  </si>
  <si>
    <t>4,8 × 17 mm</t>
  </si>
  <si>
    <t>4 × 25 × 370 mm</t>
  </si>
  <si>
    <t>4: Wurde als Farbe pulverbeschichtet gewählt, erscheint ein zusätzliches Eingabefeld für die Beschichtungsfarbe..</t>
  </si>
  <si>
    <t>60 ⌀</t>
  </si>
  <si>
    <t>700 × 1,0 mm</t>
  </si>
  <si>
    <t>4 × 9,5 mm</t>
  </si>
  <si>
    <t>333/28 × 7</t>
  </si>
  <si>
    <t>333 mm / 100 × 100 mm</t>
  </si>
  <si>
    <t>3: Sämtliche Optionsfelder können angewählt werden.</t>
  </si>
  <si>
    <t>290 ml reichen für ca. 4 lfm.</t>
  </si>
  <si>
    <t>28 × 7 mm</t>
  </si>
  <si>
    <t>250/23 × 7</t>
  </si>
  <si>
    <t>PREFA Einlaufblech glatt 230 × 2.000 × 0,7 mm</t>
  </si>
  <si>
    <t>PREFA cseppentőlemez sima 230 × 2.000 × 0,7 mm</t>
  </si>
  <si>
    <t>PREFA odkapový plech pod fóliu, hladký, 230 × 2.000 × 0,7 mm</t>
  </si>
  <si>
    <t>230 × 2.000 × 0,7 mm</t>
  </si>
  <si>
    <t>150 ⌀</t>
  </si>
  <si>
    <t>120 ⌀</t>
  </si>
  <si>
    <t>100 × ⌀ 50–75 mm</t>
  </si>
  <si>
    <t>100 ⌀ × 1.450 mm</t>
  </si>
  <si>
    <t>100 ⌀ 700–1.100 mm</t>
  </si>
  <si>
    <t>100 ⌀</t>
  </si>
  <si>
    <t>1: Das gewünschte Produkt durch Anklicken des Reiters auswählen.</t>
  </si>
  <si>
    <t>Tuyau de ventilation (Ø 100), compatible tuyaux HT (DN 110)</t>
  </si>
  <si>
    <t>Tuyau de ventilation (Ø 120), compatible tuyaux HT (DN 125)</t>
  </si>
  <si>
    <t>0,75 l can</t>
  </si>
  <si>
    <t>pot de 0,75 l</t>
  </si>
  <si>
    <t>1,500 mm</t>
  </si>
  <si>
    <t>1 500 mm</t>
  </si>
  <si>
    <t>1: Select the required product by clicking on the tab.</t>
  </si>
  <si>
    <t>1: Sélectionnez le produit en cliquant sur l’onglet correspondant.</t>
  </si>
  <si>
    <t>100-160 mm</t>
  </si>
  <si>
    <t>100-180 mm</t>
  </si>
  <si>
    <t>⌀ 100</t>
  </si>
  <si>
    <t>⌀ 100; 700–1,100 mm</t>
  </si>
  <si>
    <t>100 ø 700-1 100 mm</t>
  </si>
  <si>
    <t>⌀ 100 × 1,450 mm</t>
  </si>
  <si>
    <t>100 ø × 1 450 mm</t>
  </si>
  <si>
    <t>100 × ø 50-75 mm</t>
  </si>
  <si>
    <t>⌀ 120</t>
  </si>
  <si>
    <t>⌀ 150</t>
  </si>
  <si>
    <t>180-220 mm</t>
  </si>
  <si>
    <t>180-260 mm</t>
  </si>
  <si>
    <t>195 mm long</t>
  </si>
  <si>
    <t>longueur : 195 mm</t>
  </si>
  <si>
    <t>2: Fields with a grey background are input fields or contain a drop-down list.</t>
  </si>
  <si>
    <t>2: Les champs en grisé sont soit des champs de saisie, soit des listes déroulantes.</t>
  </si>
  <si>
    <t>230 × 2,000 × 0.7 mm</t>
  </si>
  <si>
    <t>230 × 2 000 × 0,7 mm</t>
  </si>
  <si>
    <t>290 ml is sufficient for approx. 4 m.</t>
  </si>
  <si>
    <t>290 ml pour env. 4 m</t>
  </si>
  <si>
    <t>3,000 mm</t>
  </si>
  <si>
    <t>3 000 mm</t>
  </si>
  <si>
    <t>3: All options can be selected.</t>
  </si>
  <si>
    <t>3: Il est possible de cliquer la totalité des boutons radio (options).</t>
  </si>
  <si>
    <t>4 × 9.5 mm</t>
  </si>
  <si>
    <t>4.8 × 17 mm</t>
  </si>
  <si>
    <t>4: If you selected powder coating as the colour, an additional input field will be displayed for you to select the coating colour.</t>
  </si>
  <si>
    <t>4: Si, pour la couleur, vous sélectionnez l’option « revêtement thermolaqué », un champ supplémentaire s’affiche qui vous permet de sélectionner la couleur du revêtement.</t>
  </si>
  <si>
    <t>5.0 × 80 mm</t>
  </si>
  <si>
    <t>50 ml can with brush</t>
  </si>
  <si>
    <t>pot de 50 ml avec pinceau</t>
  </si>
  <si>
    <t>6,000 × 375 mm</t>
  </si>
  <si>
    <t>6 000 × 375 mm</t>
  </si>
  <si>
    <t>60 mm projection</t>
  </si>
  <si>
    <t>projection de 60 mm</t>
  </si>
  <si>
    <t>⌀ 60</t>
  </si>
  <si>
    <t>⌀ 60 × 3,000 mm</t>
  </si>
  <si>
    <t>60 ø × 3 000 mm</t>
  </si>
  <si>
    <t>700 × 1.0 mm</t>
  </si>
  <si>
    <t>⌀ 80</t>
  </si>
  <si>
    <t>80 ø</t>
  </si>
  <si>
    <t>Downpipe dimension:</t>
  </si>
  <si>
    <t>Dimension du tuyau de descente :</t>
  </si>
  <si>
    <t>operating instructions</t>
  </si>
  <si>
    <t>mode d’emploi</t>
  </si>
  <si>
    <t>ROOF DRAINAGE</t>
  </si>
  <si>
    <t>GOUTTIÈRES</t>
  </si>
  <si>
    <t>FX.12 ROOF PANEL</t>
  </si>
  <si>
    <t>PANNEAU DE TOITURE FX.12</t>
  </si>
  <si>
    <t>R.16 ROOF TILE</t>
  </si>
  <si>
    <t>R.16</t>
  </si>
  <si>
    <t>RHOMBOID ROOF TILE 29 × 29</t>
  </si>
  <si>
    <t>LOSANGE DE TOITURE 29 × 29</t>
  </si>
  <si>
    <t>RHOMBOID ROOF TILE 44 × 44</t>
  </si>
  <si>
    <t>LOSANGE DE TOITURE 44 × 44</t>
  </si>
  <si>
    <t>SHINGLE</t>
  </si>
  <si>
    <t>BARDEAU</t>
  </si>
  <si>
    <t>Dimension not available</t>
  </si>
  <si>
    <t>Dimension non disponible</t>
  </si>
  <si>
    <t>Select dimension:</t>
  </si>
  <si>
    <t>Sélectionner la dimension :</t>
  </si>
  <si>
    <t>short</t>
  </si>
  <si>
    <t>court</t>
  </si>
  <si>
    <t>long</t>
  </si>
  <si>
    <t>Select length:</t>
  </si>
  <si>
    <t>Sélectionner la longueur :</t>
  </si>
  <si>
    <t>⌀ 100 mm suitable for high-temperature and foul drainage pipe (nominal size 110 mm)</t>
  </si>
  <si>
    <t>⌀ 100 mm, compatible tuyaux HT et canalisations souterraines (DN 110 mm)</t>
  </si>
  <si>
    <t>⌀ 115 mm suitable for high-temperature and foul drainage pipe (nominal size 125 mm)</t>
  </si>
  <si>
    <t>⌀ 115 mm, compatible tuyaux HT et canalisations souterraines (DN 125 mm)</t>
  </si>
  <si>
    <t>PREFA protective cap for pipe bracket pin</t>
  </si>
  <si>
    <t>cache pour goujon de collier</t>
  </si>
  <si>
    <t>PREFA rain chain (5 mm)</t>
  </si>
  <si>
    <t>chaîne de 5 mm</t>
  </si>
  <si>
    <t>PREFA downpipe (1.6 mm; DN 100)</t>
  </si>
  <si>
    <t>tuyau de descente, 1,6 mm, DN 100</t>
  </si>
  <si>
    <t>PREFA downpipe (DN 60, welded)</t>
  </si>
  <si>
    <t>tuyau de descente, DN 60, soudé</t>
  </si>
  <si>
    <t>PREFA downpipes</t>
  </si>
  <si>
    <t>tuyaux de descente</t>
  </si>
  <si>
    <t>PREFA aluminium gutter with protective film on the outside</t>
  </si>
  <si>
    <t>gouttière en aluminium avec film de protection (face extérieure)</t>
  </si>
  <si>
    <t>PREFA aluminium box gutter</t>
  </si>
  <si>
    <t>gouttière carrée en aluminium</t>
  </si>
  <si>
    <t>PREFA aluminium welding rods</t>
  </si>
  <si>
    <t>baguettes de soudure en aluminium</t>
  </si>
  <si>
    <t>PREFA lightning protection clamp</t>
  </si>
  <si>
    <t>agrafe parafoudre</t>
  </si>
  <si>
    <t>PREFA reinforcement hanger</t>
  </si>
  <si>
    <t>bride de renfort</t>
  </si>
  <si>
    <t>PREFA roof hatch cover</t>
  </si>
  <si>
    <t>ouvrant de tabatière</t>
  </si>
  <si>
    <t>PREFA roof hatch cover with wooden frame (internal dimensions: 600 × 600 mm)</t>
  </si>
  <si>
    <t>ouvrant de tabatière avec cadre en bois (dimensions intérieures : 600 × 600 mm)</t>
  </si>
  <si>
    <t>PREFA roof hatch cover (internal dimensions: 600 × 600 mm)</t>
  </si>
  <si>
    <t>ouvrant de tabatière (dimensions intérieures : 600 × 600 mm)</t>
  </si>
  <si>
    <t>PREFA rhomboid roof tile (29 × 29 mm, 120 pc./box)</t>
  </si>
  <si>
    <t>losange de toiture (29 × 29 mm, 120 par carton)</t>
  </si>
  <si>
    <t>PREFA rhomboid roof tile (440 × 440 mm, 42 pc./box)</t>
  </si>
  <si>
    <t>losange de toiture (440 × 440 mm, 42 par carton)</t>
  </si>
  <si>
    <t>PREFA GUTTER SYSTEMS</t>
  </si>
  <si>
    <t>GOUTTIÈRES PREFA</t>
  </si>
  <si>
    <t>PREFA shingle (420 × 240 mm)</t>
  </si>
  <si>
    <t>bardeau (420 × 240 mm)</t>
  </si>
  <si>
    <t>PREFA expansion component</t>
  </si>
  <si>
    <t>joint de dilatation</t>
  </si>
  <si>
    <t>PREFA single anchor point according to EN 795, class A (tray length up to 650)</t>
  </si>
  <si>
    <t>point d’ancrage unique selon la norme EN 795, classe A (jusqu’à une longueur de bac de 650)</t>
  </si>
  <si>
    <t>PREFA corner connector for PREFA pipe</t>
  </si>
  <si>
    <t>pièce d’assemblage d’angle pour tube PREFA</t>
  </si>
  <si>
    <t>PREFA flashing plate for R.16 roof tile and FX.12, smooth, ⌀ 80–125 mm</t>
  </si>
  <si>
    <t>raccordement de ventilation pour R.16 et FX.12, lisse, ⌀ 80-125 mm</t>
  </si>
  <si>
    <t>PREFA flashing plate for rhomboid roof tile 29 × 29, smooth, ⌀ 80–125 mm</t>
  </si>
  <si>
    <t>raccordement de ventilation pour losanges de toiture 29 × 29, lisse, ⌀ 80-125 mm</t>
  </si>
  <si>
    <t>PREFA flashing plate for rhomboid roof tile 44 × 44, smooth, ⌀ 80–125 mm</t>
  </si>
  <si>
    <t>raccordement de ventilation pour losanges de toiture 44 × 44, lisse, ⌀ 80-125 mm</t>
  </si>
  <si>
    <t>PREFA flashing plate for shingle</t>
  </si>
  <si>
    <t>Raccordement de ventilation pour bardeaux</t>
  </si>
  <si>
    <t>PREFA eaves apron strip (230 × 2,000 × 0.7 mm)</t>
  </si>
  <si>
    <t>solin de finition 230 × 2 000 × 0,7 mm</t>
  </si>
  <si>
    <t>PREFA eaves apron strip</t>
  </si>
  <si>
    <t>solin de finition, lisse</t>
  </si>
  <si>
    <t>PREFA ice stopper</t>
  </si>
  <si>
    <t>crochet à glace</t>
  </si>
  <si>
    <t>PREFA end plate (1.48 pc./m, 40 pc./box)</t>
  </si>
  <si>
    <t>demi-losange de fin (1,48 par mètre, 40 par carton)</t>
  </si>
  <si>
    <t>PREFA end plate (2.2 pc./m, 100 pc./box)</t>
  </si>
  <si>
    <t>demi-losange de fin (2,2 par mètre, 100 par carton)</t>
  </si>
  <si>
    <t>PREFA vent pipe (⌀ 100)</t>
  </si>
  <si>
    <t>tuyau de ventilation (⌀ 100)</t>
  </si>
  <si>
    <t>PREFA vent pipe (⌀ 120)</t>
  </si>
  <si>
    <t>tuyau de ventilation (⌀ 120)</t>
  </si>
  <si>
    <t>PREFA sealing gel</t>
  </si>
  <si>
    <t>gel d’étanchéité pour agrafe</t>
  </si>
  <si>
    <t>PREFA frog-mouth vent, stucco, for shingles (420 × 240 mm); air intake section: approx. 30 cm²</t>
  </si>
  <si>
    <t>chatière pour bardeaux, stucco, pour bardeaux de 420 × 240 mm ; section d’aération : env. 30 cm²</t>
  </si>
  <si>
    <t>PREFA frog-mouth vent cover, for riveting; air intake section: approx. 30 cm²</t>
  </si>
  <si>
    <t>chapeau de raccordement pour chatière, à riveter ; section d’aération : env. 30 cm²</t>
  </si>
  <si>
    <t>PREFA FX.12 roof panel, short (700 × 420 mm)</t>
  </si>
  <si>
    <t>panneau de toiture FX.12, court (700 × 420 mm)</t>
  </si>
  <si>
    <t>PREFA FX.12 roof panel, long (1,400 × 420 mm)</t>
  </si>
  <si>
    <t>panneau de toiture FX.12, long (1 400 × 420 mm)</t>
  </si>
  <si>
    <t>PREFA suitable for high-temperature and foul drainage pipe (nominal size 110 mm)</t>
  </si>
  <si>
    <t>joint en caoutchouc compatible tuyaux HT et canalisations souterraines (DN 110 mm)</t>
  </si>
  <si>
    <t>PREFA fastener</t>
  </si>
  <si>
    <t>clip de fixation</t>
  </si>
  <si>
    <t>PREFA hanging gutter expansion joint with bead and cover plate</t>
  </si>
  <si>
    <t>joint de dilatation avec boudin et cache (gouttière suspendue)</t>
  </si>
  <si>
    <t>PREFA hanging gutter expansion joint without bead or cover plate</t>
  </si>
  <si>
    <t>joint de dilatation sans boudin ni cache (gouttière suspendue)</t>
  </si>
  <si>
    <t>PREFA wooden frame (internal dimensions: 600 × 600 mm)</t>
  </si>
  <si>
    <t>cadre en bois (dimensions intérieures : 600 × 600 mm)</t>
  </si>
  <si>
    <t>PREFA water-based paint</t>
  </si>
  <si>
    <t>peinture aqueuse</t>
  </si>
  <si>
    <t>PREFA box gutter expansion joint with bead and cover plate</t>
  </si>
  <si>
    <t>joint de dilatation avec boudin et cache (gouttière carrée)</t>
  </si>
  <si>
    <t>PREFA box gutter expansion joint without bead or cover plate</t>
  </si>
  <si>
    <t>joint de dilatation sans boudin ni cache (gouttière carrée)</t>
  </si>
  <si>
    <t>PREFA box gutter end cap</t>
  </si>
  <si>
    <t>fond de gouttière carrée</t>
  </si>
  <si>
    <t>PREFA box gutter outlet</t>
  </si>
  <si>
    <t>naissance de gouttière carrée</t>
  </si>
  <si>
    <t>PREFA external box gutter mitre 90°</t>
  </si>
  <si>
    <t>équerre de gouttière carrée, angle sortant 90°</t>
  </si>
  <si>
    <t>PREFA internal box gutter mitre 90°</t>
  </si>
  <si>
    <t>équerre de gouttière carrée, angle rentant 90°</t>
  </si>
  <si>
    <t>PREFA adhesive flashing strip for standing seam roofs (⌀ 120–170 mm)</t>
  </si>
  <si>
    <t>raccordement de ventilation à coller pour toitures à joints debout, ⌀ 120-170 mm</t>
  </si>
  <si>
    <t>PREFA adhesive flashing strip for standing seam roofs (⌀ 170–210 mm)</t>
  </si>
  <si>
    <t>raccordement de ventilation à coller pour toitures à joints debout, ⌀ 170-210 mm</t>
  </si>
  <si>
    <t>PREFA adhesive flashing strip for standing seam roofs (⌀ 50–65 mm)</t>
  </si>
  <si>
    <t>raccordement de ventilation à coller pour toitures à joints debout, ⌀ 50-65 mm</t>
  </si>
  <si>
    <t>PREFA adhesive flashing strip for standing seam roofs (⌀ 80–125 mm)</t>
  </si>
  <si>
    <t>raccordement de ventilation à coller pour toitures à joints debout, ⌀ 80-125 mm</t>
  </si>
  <si>
    <t>PREFA radius end cap</t>
  </si>
  <si>
    <t>fond de gouttière arrondi</t>
  </si>
  <si>
    <t>PREFA strainer (brown only)</t>
  </si>
  <si>
    <t>crapaudine (en brun uniquement)</t>
  </si>
  <si>
    <t>PREFA walkway support</t>
  </si>
  <si>
    <t>support de chemin de circulation (pour chemins de circulation)</t>
  </si>
  <si>
    <t>PREFA M10 thread pin</t>
  </si>
  <si>
    <t>goujon fileté M10</t>
  </si>
  <si>
    <t>PREFA stainless steel fish tailed fixed clip</t>
  </si>
  <si>
    <t>patte inox fixe en V</t>
  </si>
  <si>
    <t>PREFA stainless steel fish tailed sliding clip</t>
  </si>
  <si>
    <t>patte inox coulissante en V</t>
  </si>
  <si>
    <t>PREFA stainless steel preformed sliding clips; tray length up to 12 m</t>
  </si>
  <si>
    <t>patte coulissante standard inox, jusqu’à une longueur de bac de 12 m</t>
  </si>
  <si>
    <t>PREFA stainless steel preformed fixed clip</t>
  </si>
  <si>
    <t>patte inox fixe</t>
  </si>
  <si>
    <t>PREFA patent rivet</t>
  </si>
  <si>
    <t>rivet breveté</t>
  </si>
  <si>
    <t>PREFA square downpipe</t>
  </si>
  <si>
    <t>tuyau de descente carré</t>
  </si>
  <si>
    <t>PREFA square downpipe outlet for box gutter</t>
  </si>
  <si>
    <t>naissance pour tuyau carré (gouttières carrées)</t>
  </si>
  <si>
    <t>PREFA square downpipe with access pipe</t>
  </si>
  <si>
    <t>tuyau carré avec ouverture de nettoyage</t>
  </si>
  <si>
    <t>PREFA square downpipe coupling</t>
  </si>
  <si>
    <t>manchon de jonction pour tuyau carré</t>
  </si>
  <si>
    <t>PREFA parapet outlet square downpipe connector</t>
  </si>
  <si>
    <t>embranchement d’évacuation carré pour toits plats</t>
  </si>
  <si>
    <t>PREFA square downpipe leader head 220/220/330</t>
  </si>
  <si>
    <t>boîte à eau pour tuyau de descente carré 220/220/330</t>
  </si>
  <si>
    <t>PREFA square downpipe elbow 72° (short)</t>
  </si>
  <si>
    <t>coude de tuyau carré 72°, court</t>
  </si>
  <si>
    <t>PREFA square downpipe elbow 72° (long)</t>
  </si>
  <si>
    <t>coude de tuyau carré 72°, long</t>
  </si>
  <si>
    <t>PREFA downpipe cleanout</t>
  </si>
  <si>
    <t>récupérateur d’eau</t>
  </si>
  <si>
    <t>PREFA gutter end cap</t>
  </si>
  <si>
    <t>fond de gouttière</t>
  </si>
  <si>
    <t>PREFA gutter bracket</t>
  </si>
  <si>
    <t>crochet de gouttière</t>
  </si>
  <si>
    <t>PREFA bracket for box gutter</t>
  </si>
  <si>
    <t>crochet pour gouttières carrées</t>
  </si>
  <si>
    <t>PREFA upright gutter bracket</t>
  </si>
  <si>
    <t>crochet de chant</t>
  </si>
  <si>
    <t>PREFA gutter bracket (Switzerland)</t>
  </si>
  <si>
    <t>crochet de gouttière (Suisse)</t>
  </si>
  <si>
    <t>PREFA gutter bracket nail 5.0 × 80</t>
  </si>
  <si>
    <t>clou pour crochet de gouttière (5,0 × 80)</t>
  </si>
  <si>
    <t>PREFA gutter outlet</t>
  </si>
  <si>
    <t>naissance</t>
  </si>
  <si>
    <t>PREFA external gutter mitre 90°</t>
  </si>
  <si>
    <t>équerre de gouttière, angle sortant 90°</t>
  </si>
  <si>
    <t>PREFA internal gutter mitre 90°</t>
  </si>
  <si>
    <t>équerre de gouttière, angle rentant 90°</t>
  </si>
  <si>
    <t>PREFA pipe 28 × 2 × 3.000 mm, including coupling</t>
  </si>
  <si>
    <t>tube 28 × 2 × 3.000 mm, avec manchon de jonction</t>
  </si>
  <si>
    <t>PREFA downpipe elbow 40°</t>
  </si>
  <si>
    <t>coude 40°</t>
  </si>
  <si>
    <t>PREFA downpipe elbow 72°</t>
  </si>
  <si>
    <t>coude 72°</t>
  </si>
  <si>
    <t>PREFA downpipe elbow 85°</t>
  </si>
  <si>
    <t>coude 85°</t>
  </si>
  <si>
    <t>PREFA downpipe branch</t>
  </si>
  <si>
    <t>embranchement</t>
  </si>
  <si>
    <t>PREFA tapered downpipe branch</t>
  </si>
  <si>
    <t>embranchement conique</t>
  </si>
  <si>
    <t>PREFA pipe bracket for straight downpipes</t>
  </si>
  <si>
    <t>collier pour dauphin</t>
  </si>
  <si>
    <t>PREFA pipe bracket – with M10 thread without pin</t>
  </si>
  <si>
    <t>collier (filetage M10, sans goujon)</t>
  </si>
  <si>
    <t>PREFA pipe bracket pin</t>
  </si>
  <si>
    <t>goujon de collier</t>
  </si>
  <si>
    <t>PREFA pipe bracket dowel with pin (for ETICS)</t>
  </si>
  <si>
    <t>cheville d’isolation pour collier, avec goujon (pour ITE)</t>
  </si>
  <si>
    <t>PREFA pipe bracket support (for ETICS)</t>
  </si>
  <si>
    <t>console pour collier (pour ITE)</t>
  </si>
  <si>
    <t>PREFA downpipe connector</t>
  </si>
  <si>
    <t>réduction de tuyau</t>
  </si>
  <si>
    <t>PREFA two-pipe seam clamp</t>
  </si>
  <si>
    <t>bride double</t>
  </si>
  <si>
    <t>PREFA one-pipe seam clamp</t>
  </si>
  <si>
    <t>bride simple</t>
  </si>
  <si>
    <t>PREFA seam clamp for diagonal seams</t>
  </si>
  <si>
    <t>bride de maintien pour agrafes en biais</t>
  </si>
  <si>
    <t>PREFA on-roof gutter with protective film on the outside</t>
  </si>
  <si>
    <t>gouttière havraise avec film de protection (face extérieure)</t>
  </si>
  <si>
    <t>PREFA on-roof gutter end cap</t>
  </si>
  <si>
    <t>fond de gouttière havraise</t>
  </si>
  <si>
    <t>PREFA on-roof gutter bracket</t>
  </si>
  <si>
    <t>crochet de gouttière havraise</t>
  </si>
  <si>
    <t>PREFA edge cleat strip (1,800 × 158 × 1.00 mm)</t>
  </si>
  <si>
    <t>bande de départ (1 800 × 158 × 1,00 mm)</t>
  </si>
  <si>
    <t>PREFA snow guard for R.16 roof tile and FX.12</t>
  </si>
  <si>
    <t>arrêt de neige pour R.16 et FX.12</t>
  </si>
  <si>
    <t>PREFA snow guard for rhomboid roof tile 29 × 29</t>
  </si>
  <si>
    <t>arrêt de neige pour losanges de toiture 29 × 29</t>
  </si>
  <si>
    <t>PREFA snow guard for rhomboid roof tile 44 × 44</t>
  </si>
  <si>
    <t>arrêt de neige pour losanges de toiture 44 × 44</t>
  </si>
  <si>
    <t>PREFA snow guard for shingle</t>
  </si>
  <si>
    <t>arrêt de neige pour bardeau</t>
  </si>
  <si>
    <t>PREFA diagonal outlet</t>
  </si>
  <si>
    <t>naissance inclinée</t>
  </si>
  <si>
    <t>PREFA swan neck, 60 mm projection</t>
  </si>
  <si>
    <t>coude étage, avec projection de 60 mm</t>
  </si>
  <si>
    <t>PREFA parapet outlet downpipe connector</t>
  </si>
  <si>
    <t>embranchement d’évacuation rond pour toits plats</t>
  </si>
  <si>
    <t>PREFA straight downpipe with access pipe</t>
  </si>
  <si>
    <t>dauphin avec porte de nettoyage</t>
  </si>
  <si>
    <t>PREFA standpipe cap</t>
  </si>
  <si>
    <t>collerette</t>
  </si>
  <si>
    <t>PREFA leading plate (1.48 pc./m, 40 pc./box)</t>
  </si>
  <si>
    <t>demi-losange de départ (1,48 par mètre, 40 par carton)</t>
  </si>
  <si>
    <t>PREFA leading plate (2.2 pc./m, 100 pc./box)</t>
  </si>
  <si>
    <t>demi-losange de départ (2,2 par mètre, 100 par carton)</t>
  </si>
  <si>
    <t>PREFA bargeboard bracket for gutters</t>
  </si>
  <si>
    <t>crochet de larmier pour gouttière</t>
  </si>
  <si>
    <t>PREFA bargeboard bracket for box gutters</t>
  </si>
  <si>
    <t>crochet de larmier pour gouttières carrées</t>
  </si>
  <si>
    <t>PREFA outlet</t>
  </si>
  <si>
    <t>moignon</t>
  </si>
  <si>
    <t>PREFA telescopic downpipe elbow, adjustable from 700 to 1,000 mm, nominal size 100</t>
  </si>
  <si>
    <t>coude télescopique ; longueur réglable : entre 700 et 1 000 mm ; DN 100</t>
  </si>
  <si>
    <t>PREFA bird screen (125 × 2,000 × 0.7 mm)</t>
  </si>
  <si>
    <t>grille anti-insectes 125 × 2 000 × 0,7 mm</t>
  </si>
  <si>
    <t>PREFA leader head 220/220/330</t>
  </si>
  <si>
    <t>boîte à eau 220/220/330</t>
  </si>
  <si>
    <t>PREFA water collector</t>
  </si>
  <si>
    <t>collecteur d’eau</t>
  </si>
  <si>
    <t>Prefalz</t>
  </si>
  <si>
    <t>Prefalz colour aluminium strip 0.7 × 1,000 mm</t>
  </si>
  <si>
    <t>bande d’aluminium coloré Prefalz 0,7 × 1 000 mm</t>
  </si>
  <si>
    <t>Prefalz colour aluminium strip 0.7 × 1,000 mm (for additional flashings)</t>
  </si>
  <si>
    <t>bande d’aluminium coloré Prefalz 0,7 × 1 000 mm (pour les raccordements complémentaires)</t>
  </si>
  <si>
    <t>Prefalz colour aluminium strip 0.7 × 500 mm</t>
  </si>
  <si>
    <t>bande d’aluminium coloré Prefalz 0,7 × 500 mm</t>
  </si>
  <si>
    <t>Prefalz colour aluminium strip 0.7 × 650 mm</t>
  </si>
  <si>
    <t>bande d’aluminium coloré Prefalz 0,7 × 650 mm</t>
  </si>
  <si>
    <t>SQUARE DOWNPIPE</t>
  </si>
  <si>
    <t>TUYAU DE DESCENTE CARRÉ</t>
  </si>
  <si>
    <t>Gutter dimensions:</t>
  </si>
  <si>
    <t>Développement :</t>
  </si>
  <si>
    <t>Select gutter length:</t>
  </si>
  <si>
    <t>Sélectionner la longueur de la gouttière :</t>
  </si>
  <si>
    <t>Select downpipe length:</t>
  </si>
  <si>
    <t>Sélectionner la longueur du tuyau de descente :</t>
  </si>
  <si>
    <t>wall mounting plate</t>
  </si>
  <si>
    <t>plaque de montage mural</t>
  </si>
  <si>
    <t>PREFA rhomboid roof tile clip 29 × 29</t>
  </si>
  <si>
    <t>patte de fixation pour losanges de toiture 29 × 29</t>
  </si>
  <si>
    <t>PREFA stainless steel ring nails</t>
  </si>
  <si>
    <t>clou annelé inox</t>
  </si>
  <si>
    <t>PREFA box gutter end cap 500, left</t>
  </si>
  <si>
    <t>fond de gouttière carrée 500, gauche</t>
  </si>
  <si>
    <t>PREFA box gutter end cap 500, right</t>
  </si>
  <si>
    <t>fond de gouttière carrée 500, droite</t>
  </si>
  <si>
    <t>jezik</t>
  </si>
  <si>
    <t>Prefa strešni sistemi</t>
  </si>
  <si>
    <t>strešna plošča</t>
  </si>
  <si>
    <t>potrdilo na fax</t>
  </si>
  <si>
    <t>ali email</t>
  </si>
  <si>
    <t>datum</t>
  </si>
  <si>
    <t>podjetje/naročnik</t>
  </si>
  <si>
    <t>ime</t>
  </si>
  <si>
    <t>ulica</t>
  </si>
  <si>
    <t>kraj</t>
  </si>
  <si>
    <t>Kontaktna oseba</t>
  </si>
  <si>
    <t>telefon</t>
  </si>
  <si>
    <t>email</t>
  </si>
  <si>
    <t>naslov za dostavo</t>
  </si>
  <si>
    <t>Poslovalnica</t>
  </si>
  <si>
    <t>Ulica</t>
  </si>
  <si>
    <t>površinska obdelava</t>
  </si>
  <si>
    <t>gladka</t>
  </si>
  <si>
    <t>Količina v :</t>
  </si>
  <si>
    <t>Enota</t>
  </si>
  <si>
    <t>KOS</t>
  </si>
  <si>
    <t>barva:</t>
  </si>
  <si>
    <t>prašno barvano</t>
  </si>
  <si>
    <t>enota</t>
  </si>
  <si>
    <t>fotografija</t>
  </si>
  <si>
    <t>opis</t>
  </si>
  <si>
    <t xml:space="preserve">Enota </t>
  </si>
  <si>
    <t>skupaj</t>
  </si>
  <si>
    <t>opcijsko</t>
  </si>
  <si>
    <t>tekoči meter</t>
  </si>
  <si>
    <t>kos</t>
  </si>
  <si>
    <t>škatla</t>
  </si>
  <si>
    <t>pakiranje</t>
  </si>
  <si>
    <t>set</t>
  </si>
  <si>
    <t>kolut</t>
  </si>
  <si>
    <t>koluti</t>
  </si>
  <si>
    <t>dodatne opombe</t>
  </si>
  <si>
    <t>PREFA strešna plošča (600 x 420 mm, 40 kos/škatlo) vključno z narebrenimi žičniki 28/30 in patentnimi sidri</t>
  </si>
  <si>
    <t>PREFA začetni trak, anodik rjava, predhodno perforiran (1.806x150x1,20mm)</t>
  </si>
  <si>
    <t>PREFA začetni trak, žlebasti, za stopničaste presledke (600 x 150 mm)</t>
  </si>
  <si>
    <t>PREFA patentno sidro za strešne plošče in skodle</t>
  </si>
  <si>
    <t>magazin s sidri Bull Tack 80 kos/magazin, 30 mag/škatlo</t>
  </si>
  <si>
    <t>izberi</t>
  </si>
  <si>
    <t>Ocenitev količine/povpraševanje</t>
  </si>
  <si>
    <t>filter</t>
  </si>
  <si>
    <t>naročilo</t>
  </si>
  <si>
    <t>servis</t>
  </si>
  <si>
    <t>hvala za ocenitev količine</t>
  </si>
  <si>
    <t>hvala za naročilo</t>
  </si>
  <si>
    <t>PREFA žičniki pocinkani</t>
  </si>
  <si>
    <t>28/25 (1 kg = ca. 570 kos)</t>
  </si>
  <si>
    <t>28/30 (1 kg = ca. 480 kos)</t>
  </si>
  <si>
    <t>28/40 (1 kg = ca. 380 kos)</t>
  </si>
  <si>
    <t>Žičniki za Bull Tack pištolo</t>
  </si>
  <si>
    <t>dolžina 26 mm (3.200 kos/škatlo)</t>
  </si>
  <si>
    <t>dolžina 35 mm (2.400 kos/škatlo)</t>
  </si>
  <si>
    <t>dolžina 26 mm (3.200 kos/škatlo) NIRO - nerjaveči</t>
  </si>
  <si>
    <t>PREFA odkapna pločevina gladka 230 x 2.000 x 0,7 mm</t>
  </si>
  <si>
    <t xml:space="preserve">PREFA perforirani trak </t>
  </si>
  <si>
    <t>PREFA perforiran trak za zaščito pred ptiči, 125 mm (125x2.000x0,7mm)</t>
  </si>
  <si>
    <t>PREFA čelna obroba (95x2.000 x 0,7 mm)</t>
  </si>
  <si>
    <t>PREFA varnostna žlota, stucco (3.000 mm dolžine)</t>
  </si>
  <si>
    <t>PREFA grebenski slemenjak 500 x 1,00 mm, stucco, vklj. S klepraskimi nerjavečimi vijaki 4,5 x 45 mmin podložko</t>
  </si>
  <si>
    <t xml:space="preserve">PREFA polkrožni začetni grebenski slemenjak </t>
  </si>
  <si>
    <t xml:space="preserve">PREfa Jet-zračni slemenjak stucco (1.200 mm) vklj. S kleparskimi nerjavečimi vijaki </t>
  </si>
  <si>
    <t xml:space="preserve">PREfa Jet-zračni slemenjak stucco (3.000 mm) vklj. S kleparskimi nerjavečimi vijaki </t>
  </si>
  <si>
    <t>PREFA jet-začetni slemenjak stucco</t>
  </si>
  <si>
    <t>Kleparski nerjaveči vijaki s podložko za grebenske slemenjake</t>
  </si>
  <si>
    <t>Kleparski nerjaveči vijaki s podložko za jet-zračne slemenjake</t>
  </si>
  <si>
    <t>(4,5 x 45 mm, 250 kos/pakiranje)</t>
  </si>
  <si>
    <t>(4,5 x 45 mm, 250 kos/pakiranje, natur)</t>
  </si>
  <si>
    <t>(4,5 x 60 mm, 100 kos/pakiranje)</t>
  </si>
  <si>
    <t>(4,5 x 60 mm, 100 kos/Pakiranje, natur)</t>
  </si>
  <si>
    <t>PREFA žabji zračnik za pritrjevanje s kovicami, presek zračenja ca. 30cm2</t>
  </si>
  <si>
    <t>PREFA žabji zračnik za strešne plošče 300x420 mm, presek zračenja ca. 30cm2</t>
  </si>
  <si>
    <t>PREFA zasilno strešno okno (600x600 mm) vklj. Z lesenim okvirjem</t>
  </si>
  <si>
    <t>PREFA obrobe za velux strešna okna stucco</t>
  </si>
  <si>
    <t>PREFA obroba za Roto strešna okna stucco</t>
  </si>
  <si>
    <t>PREFA enojna stopnja vklj. Z 2 podložnima elementoma</t>
  </si>
  <si>
    <t xml:space="preserve">PREFA nosilec pohodne stopnice </t>
  </si>
  <si>
    <t>PREFA pohodna rešetka (250x1.200mm)</t>
  </si>
  <si>
    <t>PREFA pohodna rešetka (250x800mm)</t>
  </si>
  <si>
    <t>PREFA pohodna rešetka (250x600mm)</t>
  </si>
  <si>
    <t>PREFA pohodna rešetka (250x420mm)</t>
  </si>
  <si>
    <t>PREFA dopolnilni trak</t>
  </si>
  <si>
    <t>PREFA povezovalec pohodnih rešetk, pocinkan</t>
  </si>
  <si>
    <t>PREFA Varovalni kavelj po EN 517b, na podložnih elementih</t>
  </si>
  <si>
    <t>PREFA varovalni kavelj po EN 517b</t>
  </si>
  <si>
    <t>PREFA prehodna plošča za strešne plošče, gladka, premer 80 - 125 mm</t>
  </si>
  <si>
    <t>PREFA univerzalna dvodelna prehodna plošča, gladka premer 40 - 120 mm</t>
  </si>
  <si>
    <t>S toplotno izolacija</t>
  </si>
  <si>
    <t>BREZ toplotne izolacije</t>
  </si>
  <si>
    <t>Dimenzije</t>
  </si>
  <si>
    <t>mahovo zelena/svetlo siva</t>
  </si>
  <si>
    <t>anodik rjava/antracitna</t>
  </si>
  <si>
    <t>barkreno rjava/oksidno rdeča</t>
  </si>
  <si>
    <t>prefa bela/prefa bela</t>
  </si>
  <si>
    <t>PREFA prezračevalna kapa Ø  100, gladka</t>
  </si>
  <si>
    <t>PREFA prezračevalna cev Ø  100, ustrezna za cev HT-NW 110</t>
  </si>
  <si>
    <t>PREFA prezračevalna cev Ø  120, ustrezna za cev HT-NW 125</t>
  </si>
  <si>
    <t>PREFA tesnilna manšeta Ø100-130</t>
  </si>
  <si>
    <t>PREFA snegolov za strešne plošče in strešne rombe 29x29</t>
  </si>
  <si>
    <t>PREFA sistem za linijski snegolov</t>
  </si>
  <si>
    <t>PREFA cev (15Ø x 3.000 mm), za snegolov</t>
  </si>
  <si>
    <t>PREFA zaključek za linijski snegolov</t>
  </si>
  <si>
    <t>PREFA sistem za linijski snegolov (205x66x303 mm)</t>
  </si>
  <si>
    <t>PREFA palice za snegolovni sistem (3.000 mmm)</t>
  </si>
  <si>
    <t>PREFA zadrževalec ledu</t>
  </si>
  <si>
    <t>PREFA nosilec za linijski snegolov</t>
  </si>
  <si>
    <t>PREFA iskrolov za dimnik 700x700mm</t>
  </si>
  <si>
    <t>PREFA iskrolov za dimnik 800x800mm</t>
  </si>
  <si>
    <t>PREFA iskrolov za dimnik 1000x700mm</t>
  </si>
  <si>
    <t>PREFA iskrolov za dimnik 1100x800mm</t>
  </si>
  <si>
    <t>PREFA iskrolov za dimnik 1500x800mm</t>
  </si>
  <si>
    <t>PREFA opora za dimniški iskrolov</t>
  </si>
  <si>
    <t>PREFA ploščati profil (35 x 7 x 3.000 mm)</t>
  </si>
  <si>
    <t>PREFA pokrivna kapa, za prekrivanje pritrdilnih sredstev</t>
  </si>
  <si>
    <t>PREFA silikonska kartuša</t>
  </si>
  <si>
    <t>PREFA specialni lepilni set</t>
  </si>
  <si>
    <t>PREFA nakovalo za strešne plošče</t>
  </si>
  <si>
    <t>PREFA orodje za prilagoditev vala</t>
  </si>
  <si>
    <t>PREFA perforirana pločevina DM 5 mm ca. 24 kg/kolut (0,7 x 1.000mm)</t>
  </si>
  <si>
    <t>dopolnilni trak 1,0 x 1.000 mm (le za začetne trakove)</t>
  </si>
  <si>
    <t>svetlo siva/svetlo siva)</t>
  </si>
  <si>
    <t>Tehnika</t>
  </si>
  <si>
    <t>Različica:</t>
  </si>
  <si>
    <t>PREFALZ dopolnilna pločevina 1,0 x 1.000 mm (le za začetne trakove)</t>
  </si>
  <si>
    <t>PREFALZ dopolnilna pločevina 0,7 x 1.000 mm (za dopolnjevanje)</t>
  </si>
  <si>
    <t>0,75 pločevinka</t>
  </si>
  <si>
    <t>1: Izberite željeni proizvod s klikom</t>
  </si>
  <si>
    <t>100 - 160 mm</t>
  </si>
  <si>
    <t>100 - 180 mm</t>
  </si>
  <si>
    <t>180 - 220 mm</t>
  </si>
  <si>
    <t>180 - 260 mm</t>
  </si>
  <si>
    <t>195 mm dolžine</t>
  </si>
  <si>
    <t>2: Vsa polja, ki so označena s sivo, so lahko izbrana s predhodno izbranim seznamom izbire</t>
  </si>
  <si>
    <t>290 ml za približno 4 tekoče metre</t>
  </si>
  <si>
    <t>3: izbrana so lahko vsa poljubna polja</t>
  </si>
  <si>
    <t>4 x 25 x 370 mm</t>
  </si>
  <si>
    <t>4,8 x 17 mm</t>
  </si>
  <si>
    <t>4: Če ste izbrali prašno barvanje, se prikaže dodatno polje za vnos barve</t>
  </si>
  <si>
    <t>400 mm / 100 x 100 mm</t>
  </si>
  <si>
    <t>400/30 x 7</t>
  </si>
  <si>
    <t>5,0 x 80 mm</t>
  </si>
  <si>
    <t>50 ml  doza s čopičem</t>
  </si>
  <si>
    <t>500/35 x 7</t>
  </si>
  <si>
    <t>6.000 x 375 mm</t>
  </si>
  <si>
    <t>60 mm grlo</t>
  </si>
  <si>
    <t>60 ø x 3.000 mm</t>
  </si>
  <si>
    <t>navodila za uporabo</t>
  </si>
  <si>
    <t>sistem za odvodnjavanje</t>
  </si>
  <si>
    <t>strešni panel fx.12</t>
  </si>
  <si>
    <t>strešna plošča r.16</t>
  </si>
  <si>
    <t>strešni romb 29x29</t>
  </si>
  <si>
    <t>strešni romb 44x44</t>
  </si>
  <si>
    <t>strešna skodla</t>
  </si>
  <si>
    <t>Dimenzija ni na voljo</t>
  </si>
  <si>
    <t>Izbrana dimenzija:</t>
  </si>
  <si>
    <t>kratko</t>
  </si>
  <si>
    <t>dolgo</t>
  </si>
  <si>
    <t>Izbrana dolžina:</t>
  </si>
  <si>
    <t>normalna</t>
  </si>
  <si>
    <t>Ø100 mm za cev HT/KG NW 110 mm</t>
  </si>
  <si>
    <t>Ø115 mm za cev HT/KG NW 125 mm</t>
  </si>
  <si>
    <t>PREFA pokrivna kapa za objemko</t>
  </si>
  <si>
    <t>PREFA veriga za odtok</t>
  </si>
  <si>
    <t>PREFA iztočna cev debeline 1,6 mm DN 100</t>
  </si>
  <si>
    <t>Prefa iztočna cev DN 60 varjena</t>
  </si>
  <si>
    <t>Prefa iztočna cev</t>
  </si>
  <si>
    <t>PREFA aluminajsti strešni žleb z zaščitno folino na zun. Strani</t>
  </si>
  <si>
    <t>PREFA pravokotni žleb</t>
  </si>
  <si>
    <t>PREFA aluminijaste palice za lotanje</t>
  </si>
  <si>
    <t xml:space="preserve">PREFA nosilec strelovoda </t>
  </si>
  <si>
    <t>PREFA pokrov za zasilno strešno okno</t>
  </si>
  <si>
    <t>PREFA pokrov za zasilno strešno okno z lesenim okvirjem (notranja mera 600 x 600 mm)</t>
  </si>
  <si>
    <t>PREFA pokrov za zasilno strešno okno (notranja mera 600 x 600)</t>
  </si>
  <si>
    <t>Prefa strešni romb (290x290 mm, 120 kos/škatlo)</t>
  </si>
  <si>
    <t>PREFA strešni romb (440 mm x 440 mm, 42 kos/škatlo)</t>
  </si>
  <si>
    <t xml:space="preserve">PREFA žlebovi </t>
  </si>
  <si>
    <t>PREFA strešna skodla (420 x 240 mm)</t>
  </si>
  <si>
    <t>PREFA dila</t>
  </si>
  <si>
    <t>PREFA EAP po EN 795 razred A (za širine trakov do 650 mm)</t>
  </si>
  <si>
    <t>PREFA vogalni zaključek za PREFA cev</t>
  </si>
  <si>
    <t>PREFA prehodna plošča za strešno ploščo R.16 in FX.12, gladka, Ø 80-125 mm</t>
  </si>
  <si>
    <t>PREFA prehodna plošča za strešni romb 29x29, gladka, Ø80 - 125 mm</t>
  </si>
  <si>
    <t>PREFA prehodna plošča za strešni romb 44x44, gladka, Ø80-125</t>
  </si>
  <si>
    <t xml:space="preserve">PREFA prehodna plošča za strešno skodlo </t>
  </si>
  <si>
    <t>PREFA odkapna pločevina 230 x 2.000 x 0,7 mm</t>
  </si>
  <si>
    <t>PREFA zaključna plošča (1,48 kos/tm, 40 kos/škatlo)</t>
  </si>
  <si>
    <t>PREFA zaključna plošča (2,2 kos/tm, 100 kos/škatlo)</t>
  </si>
  <si>
    <t>PREFA prezračevalna cev Ø100</t>
  </si>
  <si>
    <t>PREFA prezračevalna cev Ø120</t>
  </si>
  <si>
    <t>PREFA falzgel</t>
  </si>
  <si>
    <t>PREFA žabji zračnik stucco za strešno skodlo 420 x 240 mm, presek zračenja ca. 30cm2</t>
  </si>
  <si>
    <t>PREFA žabji zračnik za pritrjevanje s kovicami, presek zračevanja ca. 30 cm2</t>
  </si>
  <si>
    <t>PREFA fx.12 strešni panel majhen (700 x 420 mm)</t>
  </si>
  <si>
    <t>PREFA fx.12 strešni panel večji (1.400 x 420 mm)</t>
  </si>
  <si>
    <t>PREFA gumijasto tesnilo za HAT/KG NW 110 mm</t>
  </si>
  <si>
    <t>PREFA ojačitveno streme za alu strešne žlebove</t>
  </si>
  <si>
    <t>PREFA dilatacija za polokrogli žleb z zaslonko in zavitkom</t>
  </si>
  <si>
    <t>PREFA dilatacija za polokrogli žleb brez zaslonke in zavitka</t>
  </si>
  <si>
    <t>PREFA leseni okvir za zasilno strešno okno (notranja mera 600 x 600 mm)</t>
  </si>
  <si>
    <t>PREFA lak za popravilo poškodb</t>
  </si>
  <si>
    <t>PREFA dilatacija za pravokotni žleb z zavitkom in zaslonko</t>
  </si>
  <si>
    <t>PREFA dilatacija za pravokotni žleb brez zavitka in zaslonke</t>
  </si>
  <si>
    <t>PREFA zapora za pravokotni žleb</t>
  </si>
  <si>
    <t xml:space="preserve">PREFA kotliček za pravokotni žleb </t>
  </si>
  <si>
    <t>PREFA vogalnik za pravokotni žleb, zunanji 90o</t>
  </si>
  <si>
    <t>PREFA vogalnik za pravokotni žleb, notranji 90o</t>
  </si>
  <si>
    <t>PREFA obroba za lepljenje za zgibne strehe Ø120-170</t>
  </si>
  <si>
    <t>PREFA obroba za lepljenje za zgibne strehe Ø170-210</t>
  </si>
  <si>
    <t>PREFA obroba za lepljenje za zgibne strehe Ø50-65</t>
  </si>
  <si>
    <t>PREFA obroba za lepljenje za zgibne strehe Ø80-125</t>
  </si>
  <si>
    <t>PREFA žlebna zapora krogla</t>
  </si>
  <si>
    <t>PREFA lovilec listja (samo v rjavi barvi)</t>
  </si>
  <si>
    <t>PREFA M10 navojna konica</t>
  </si>
  <si>
    <t>PREFA hlačno sidro iz nerjavečega jekla</t>
  </si>
  <si>
    <t>PREFA pomično hlačno sidro iz nerjavečega jekla</t>
  </si>
  <si>
    <t>PREFA pomično sidro (dolžina trakov do 12 m)</t>
  </si>
  <si>
    <t>PREFA fiksno sidro</t>
  </si>
  <si>
    <t>PREFA patentne kovice</t>
  </si>
  <si>
    <t>PREFA pravokotna cev</t>
  </si>
  <si>
    <t>PREFA žlebni izpust pravokotni</t>
  </si>
  <si>
    <t>PREFA pravokotna cev z odprtino</t>
  </si>
  <si>
    <t>PREFA povezovalec pravokotnih cevi</t>
  </si>
  <si>
    <t>PREFA nastavek za izliv - pravokotni</t>
  </si>
  <si>
    <t>PREFA kotliček - pravokotni</t>
  </si>
  <si>
    <t>PREFA koleno 72o - pravokotno kratko</t>
  </si>
  <si>
    <t>PREFA koleno 72o - pravokotno dolgo</t>
  </si>
  <si>
    <t>PREFA lovilec vode z loputo</t>
  </si>
  <si>
    <t xml:space="preserve">PREFA žlebna zapora </t>
  </si>
  <si>
    <t>PREFA žlebna kljuka</t>
  </si>
  <si>
    <t>PREFA žlebna kljuka za pravokotni žleb</t>
  </si>
  <si>
    <t>PREFA žlebna kljuka stranska</t>
  </si>
  <si>
    <t>PREFA žlebna kljuka stranska CH</t>
  </si>
  <si>
    <t>PREFA žičniki za žlebne kljuke 5,0 x 80</t>
  </si>
  <si>
    <t>PREFA žlebni izpust</t>
  </si>
  <si>
    <t>PREFA vogalnik za polokrogli žleb, zunanji 90o</t>
  </si>
  <si>
    <t>PREFA vogalnik za polokrogli žleb, notranji 90o</t>
  </si>
  <si>
    <t>PREFA cev za snegolov 28 x 2 x 3.000 mm vklj. S spojno pušo</t>
  </si>
  <si>
    <t>PREFA cevno koleno 40o</t>
  </si>
  <si>
    <t>Prefa cevno koleno 72o</t>
  </si>
  <si>
    <t>Prefa cevno koleno 85o</t>
  </si>
  <si>
    <t>PREFA cevni priključek</t>
  </si>
  <si>
    <t>PREFA konični cevni priključek</t>
  </si>
  <si>
    <t>PREFA objemka za izlivno cev</t>
  </si>
  <si>
    <t>PREFA objemka za iztočno cev z matico z navojem M10</t>
  </si>
  <si>
    <t xml:space="preserve">PREFA konica za zabijanje </t>
  </si>
  <si>
    <t>PREFA konica za zabijanje s pokrivno kapo za EPS</t>
  </si>
  <si>
    <t>PREFA pritrdilo za fasade iz EPS</t>
  </si>
  <si>
    <t>PREFA povezovalec cevi</t>
  </si>
  <si>
    <t>PREFA enojno držalo</t>
  </si>
  <si>
    <t>PREFA dvojno držalo</t>
  </si>
  <si>
    <t>PREFA držalo z ovalno luknjo</t>
  </si>
  <si>
    <t>PREFA ležeči žleb z zaščitno folijo na zun. Strani</t>
  </si>
  <si>
    <t>PREFA zapora za ležeči žleb</t>
  </si>
  <si>
    <t>PREFA kljuka za ležeči žleb</t>
  </si>
  <si>
    <t>PREFA začetni trak (1.800 x 158 x 1.00 mm)</t>
  </si>
  <si>
    <t>PREFA snegolov za strešne plošče R.16 in FX.12</t>
  </si>
  <si>
    <t>PREFA snegolov za strešni romb 29x29</t>
  </si>
  <si>
    <t>PREFA snegolov za strešni romb 44x44</t>
  </si>
  <si>
    <t>PREFA snegolov za strešno skodlo</t>
  </si>
  <si>
    <t>PREFA stranski izpust</t>
  </si>
  <si>
    <t>PREFA izogibno koleno 60 mm grlo</t>
  </si>
  <si>
    <t xml:space="preserve">PREFA Nastavek za izliv </t>
  </si>
  <si>
    <t>PREFA jeklena izlivna cev z odprtino za čiščenje</t>
  </si>
  <si>
    <t>PREFA rozeta s svitkom</t>
  </si>
  <si>
    <t>PREFA začetna plošča (1,48 kos/tm, 40 kos/škatlo)</t>
  </si>
  <si>
    <t>PREFA začetna plošča (2,2 kos/tm, 100 kos/škatlo)</t>
  </si>
  <si>
    <t>PREFA žlebna kljuka za čelno desko</t>
  </si>
  <si>
    <t>PREFA kljuka pravokotna za čelno desko</t>
  </si>
  <si>
    <t>PREFA povezovalec</t>
  </si>
  <si>
    <t>PREFA teleskopsko koleno 72o od 700 do 1.000 mm DN 100</t>
  </si>
  <si>
    <t>PREFA kotliček 220/220/330</t>
  </si>
  <si>
    <t>PREFA lovilec vode</t>
  </si>
  <si>
    <t>prefalz</t>
  </si>
  <si>
    <t>PREFALZ barvani aluminijasti trak 0,7 x 1.000 mm</t>
  </si>
  <si>
    <t>PREFALZ barvani aluminijasti trak 0,7 x 1.000 mm (za dopolnjevanje)</t>
  </si>
  <si>
    <t>PREFALZ barvani aluminijasti trak 0,7 x 500 mm</t>
  </si>
  <si>
    <t>PREFALZ barvani aluminijasti trak 0,7 x 650 mm</t>
  </si>
  <si>
    <t>pravokotna cev</t>
  </si>
  <si>
    <t>Dimenzije žleba</t>
  </si>
  <si>
    <t>Izbira dolžine žičnikov</t>
  </si>
  <si>
    <t>Izbira dolžine cevi</t>
  </si>
  <si>
    <t>plošča za montažo na zid</t>
  </si>
  <si>
    <t>PREFA patentno sidro za strešni romb 29x29</t>
  </si>
  <si>
    <t>PREFA narebreni žičniki iz nerjavečega jekla</t>
  </si>
  <si>
    <t>PREFA zapora za pravokotni žleb 500 levih</t>
  </si>
  <si>
    <t>PREFA zapora za pravokotni žleb, 500 desnih</t>
  </si>
  <si>
    <t>_Slovenisch</t>
  </si>
  <si>
    <t>Slovenski</t>
  </si>
  <si>
    <t>280/28x7</t>
  </si>
  <si>
    <t>333/28x7</t>
  </si>
  <si>
    <t>333/23x7</t>
  </si>
  <si>
    <t>25er</t>
  </si>
  <si>
    <t>28er</t>
  </si>
  <si>
    <t>33er</t>
  </si>
  <si>
    <t>40er</t>
  </si>
  <si>
    <t>280x80</t>
  </si>
  <si>
    <t>250x80</t>
  </si>
  <si>
    <t>280x100</t>
  </si>
  <si>
    <t>333x80</t>
  </si>
  <si>
    <t>333x100</t>
  </si>
  <si>
    <t>333x120</t>
  </si>
  <si>
    <t>400x120</t>
  </si>
  <si>
    <t>400x150</t>
  </si>
  <si>
    <t>50er6m</t>
  </si>
  <si>
    <t>50er</t>
  </si>
  <si>
    <t>250/23x7</t>
  </si>
  <si>
    <t>500/35x7</t>
  </si>
  <si>
    <t>400/30x7</t>
  </si>
  <si>
    <t>250/28x7</t>
  </si>
  <si>
    <t>500x120</t>
  </si>
  <si>
    <t>500x150</t>
  </si>
  <si>
    <t xml:space="preserve">527311  </t>
  </si>
  <si>
    <t xml:space="preserve">527300  </t>
  </si>
  <si>
    <t xml:space="preserve">527310  </t>
  </si>
  <si>
    <t xml:space="preserve">527312  </t>
  </si>
  <si>
    <t xml:space="preserve">527315  </t>
  </si>
  <si>
    <t xml:space="preserve">527319  </t>
  </si>
  <si>
    <t xml:space="preserve">527314  </t>
  </si>
  <si>
    <t xml:space="preserve">527317  </t>
  </si>
  <si>
    <t xml:space="preserve">527318  </t>
  </si>
  <si>
    <t xml:space="preserve">527313  </t>
  </si>
  <si>
    <t xml:space="preserve">527316  </t>
  </si>
  <si>
    <t xml:space="preserve">527331  </t>
  </si>
  <si>
    <t xml:space="preserve">527301  </t>
  </si>
  <si>
    <t xml:space="preserve">527330  </t>
  </si>
  <si>
    <t xml:space="preserve">527332  </t>
  </si>
  <si>
    <t xml:space="preserve">527335  </t>
  </si>
  <si>
    <t xml:space="preserve">527339  </t>
  </si>
  <si>
    <t xml:space="preserve">527334  </t>
  </si>
  <si>
    <t xml:space="preserve">527337  </t>
  </si>
  <si>
    <t xml:space="preserve">527338  </t>
  </si>
  <si>
    <t xml:space="preserve">527333  </t>
  </si>
  <si>
    <t xml:space="preserve">527336  </t>
  </si>
  <si>
    <t xml:space="preserve">527351  </t>
  </si>
  <si>
    <t xml:space="preserve">527302  </t>
  </si>
  <si>
    <t xml:space="preserve">527350  </t>
  </si>
  <si>
    <t xml:space="preserve">527352  </t>
  </si>
  <si>
    <t xml:space="preserve">527353  </t>
  </si>
  <si>
    <t xml:space="preserve">527359  </t>
  </si>
  <si>
    <t xml:space="preserve">527355  </t>
  </si>
  <si>
    <t xml:space="preserve">527356  </t>
  </si>
  <si>
    <t xml:space="preserve">527358  </t>
  </si>
  <si>
    <t xml:space="preserve">527354  </t>
  </si>
  <si>
    <t xml:space="preserve">527357  </t>
  </si>
  <si>
    <t xml:space="preserve">526015  </t>
  </si>
  <si>
    <t xml:space="preserve">526005  </t>
  </si>
  <si>
    <t xml:space="preserve">526012  </t>
  </si>
  <si>
    <t xml:space="preserve">526013  </t>
  </si>
  <si>
    <t xml:space="preserve">526023  </t>
  </si>
  <si>
    <t xml:space="preserve">526078  </t>
  </si>
  <si>
    <t xml:space="preserve">526027  </t>
  </si>
  <si>
    <t xml:space="preserve">526019  </t>
  </si>
  <si>
    <t xml:space="preserve">526084  </t>
  </si>
  <si>
    <t xml:space="preserve">526020  </t>
  </si>
  <si>
    <t xml:space="preserve">526069  </t>
  </si>
  <si>
    <t xml:space="preserve">526006  </t>
  </si>
  <si>
    <t xml:space="preserve">526007  </t>
  </si>
  <si>
    <t xml:space="preserve">526003  </t>
  </si>
  <si>
    <t xml:space="preserve">526008  </t>
  </si>
  <si>
    <t xml:space="preserve">526024  </t>
  </si>
  <si>
    <t xml:space="preserve">526079  </t>
  </si>
  <si>
    <t xml:space="preserve">526026  </t>
  </si>
  <si>
    <t xml:space="preserve">526017  </t>
  </si>
  <si>
    <t xml:space="preserve">526077  </t>
  </si>
  <si>
    <t xml:space="preserve">526018  </t>
  </si>
  <si>
    <t xml:space="preserve">526033  </t>
  </si>
  <si>
    <t xml:space="preserve">526011  </t>
  </si>
  <si>
    <t xml:space="preserve">526001  </t>
  </si>
  <si>
    <t xml:space="preserve">526004  </t>
  </si>
  <si>
    <t xml:space="preserve">526002  </t>
  </si>
  <si>
    <t xml:space="preserve">526025  </t>
  </si>
  <si>
    <t xml:space="preserve">526080  </t>
  </si>
  <si>
    <t xml:space="preserve">526028  </t>
  </si>
  <si>
    <t xml:space="preserve">526021  </t>
  </si>
  <si>
    <t xml:space="preserve">526085  </t>
  </si>
  <si>
    <t xml:space="preserve">526022  </t>
  </si>
  <si>
    <t xml:space="preserve">526072  </t>
  </si>
  <si>
    <t xml:space="preserve">526016  </t>
  </si>
  <si>
    <t xml:space="preserve">526009  </t>
  </si>
  <si>
    <t xml:space="preserve">526014  </t>
  </si>
  <si>
    <t xml:space="preserve">526010  </t>
  </si>
  <si>
    <t xml:space="preserve">526310  </t>
  </si>
  <si>
    <t xml:space="preserve">526311  </t>
  </si>
  <si>
    <t xml:space="preserve">526312  </t>
  </si>
  <si>
    <t xml:space="preserve">526313  </t>
  </si>
  <si>
    <t xml:space="preserve">526318  </t>
  </si>
  <si>
    <t xml:space="preserve">526070  </t>
  </si>
  <si>
    <t xml:space="preserve">526301  </t>
  </si>
  <si>
    <t xml:space="preserve">526071  </t>
  </si>
  <si>
    <t xml:space="preserve">526300  </t>
  </si>
  <si>
    <t xml:space="preserve">526302  </t>
  </si>
  <si>
    <t xml:space="preserve">526303  </t>
  </si>
  <si>
    <t xml:space="preserve">526308  </t>
  </si>
  <si>
    <t xml:space="preserve">526321  </t>
  </si>
  <si>
    <t xml:space="preserve">526076  </t>
  </si>
  <si>
    <t xml:space="preserve">526320  </t>
  </si>
  <si>
    <t xml:space="preserve">526322  </t>
  </si>
  <si>
    <t xml:space="preserve">526051  </t>
  </si>
  <si>
    <t xml:space="preserve">526035  </t>
  </si>
  <si>
    <t xml:space="preserve">526050  </t>
  </si>
  <si>
    <t xml:space="preserve">526053  </t>
  </si>
  <si>
    <t xml:space="preserve">526056  </t>
  </si>
  <si>
    <t xml:space="preserve">526081  </t>
  </si>
  <si>
    <t xml:space="preserve">526064  </t>
  </si>
  <si>
    <t xml:space="preserve">526052  </t>
  </si>
  <si>
    <t xml:space="preserve">526086  </t>
  </si>
  <si>
    <t xml:space="preserve">526059  </t>
  </si>
  <si>
    <t xml:space="preserve">526073  </t>
  </si>
  <si>
    <t xml:space="preserve">526045  </t>
  </si>
  <si>
    <t xml:space="preserve">526036  </t>
  </si>
  <si>
    <t xml:space="preserve">526044  </t>
  </si>
  <si>
    <t xml:space="preserve">526054  </t>
  </si>
  <si>
    <t xml:space="preserve">526057  </t>
  </si>
  <si>
    <t xml:space="preserve">526082  </t>
  </si>
  <si>
    <t xml:space="preserve">526062  </t>
  </si>
  <si>
    <t xml:space="preserve">526046  </t>
  </si>
  <si>
    <t xml:space="preserve">526075  </t>
  </si>
  <si>
    <t xml:space="preserve">526060  </t>
  </si>
  <si>
    <t xml:space="preserve">526040  </t>
  </si>
  <si>
    <t xml:space="preserve">526048  </t>
  </si>
  <si>
    <t xml:space="preserve">526037  </t>
  </si>
  <si>
    <t xml:space="preserve">526047  </t>
  </si>
  <si>
    <t xml:space="preserve">526055  </t>
  </si>
  <si>
    <t xml:space="preserve">526058  </t>
  </si>
  <si>
    <t xml:space="preserve">526083  </t>
  </si>
  <si>
    <t xml:space="preserve">526063  </t>
  </si>
  <si>
    <t xml:space="preserve">526049  </t>
  </si>
  <si>
    <t xml:space="preserve">526087  </t>
  </si>
  <si>
    <t xml:space="preserve">526061  </t>
  </si>
  <si>
    <t xml:space="preserve">526074  </t>
  </si>
  <si>
    <t xml:space="preserve">527014  </t>
  </si>
  <si>
    <t xml:space="preserve">527011  </t>
  </si>
  <si>
    <t xml:space="preserve">527013  </t>
  </si>
  <si>
    <t xml:space="preserve">527012  </t>
  </si>
  <si>
    <t xml:space="preserve">527023  </t>
  </si>
  <si>
    <t xml:space="preserve">527039  </t>
  </si>
  <si>
    <t xml:space="preserve">527027  </t>
  </si>
  <si>
    <t xml:space="preserve">527019  </t>
  </si>
  <si>
    <t xml:space="preserve">527042  </t>
  </si>
  <si>
    <t xml:space="preserve">527020  </t>
  </si>
  <si>
    <t xml:space="preserve">527036  </t>
  </si>
  <si>
    <t xml:space="preserve">527003  </t>
  </si>
  <si>
    <t xml:space="preserve">527009  </t>
  </si>
  <si>
    <t xml:space="preserve">527001  </t>
  </si>
  <si>
    <t xml:space="preserve">527010  </t>
  </si>
  <si>
    <t xml:space="preserve">527024  </t>
  </si>
  <si>
    <t xml:space="preserve">527040  </t>
  </si>
  <si>
    <t xml:space="preserve">527026  </t>
  </si>
  <si>
    <t xml:space="preserve">527017  </t>
  </si>
  <si>
    <t xml:space="preserve">527038  </t>
  </si>
  <si>
    <t xml:space="preserve">527018  </t>
  </si>
  <si>
    <t xml:space="preserve">527030  </t>
  </si>
  <si>
    <t xml:space="preserve">527004  </t>
  </si>
  <si>
    <t xml:space="preserve">527007  </t>
  </si>
  <si>
    <t xml:space="preserve">527002  </t>
  </si>
  <si>
    <t xml:space="preserve">527008  </t>
  </si>
  <si>
    <t xml:space="preserve">527025  </t>
  </si>
  <si>
    <t xml:space="preserve">527041  </t>
  </si>
  <si>
    <t xml:space="preserve">527028  </t>
  </si>
  <si>
    <t xml:space="preserve">527021  </t>
  </si>
  <si>
    <t xml:space="preserve">527043  </t>
  </si>
  <si>
    <t xml:space="preserve">527022  </t>
  </si>
  <si>
    <t xml:space="preserve">527037  </t>
  </si>
  <si>
    <t xml:space="preserve">527015  </t>
  </si>
  <si>
    <t xml:space="preserve">527005  </t>
  </si>
  <si>
    <t xml:space="preserve">527016  </t>
  </si>
  <si>
    <t xml:space="preserve">527006  </t>
  </si>
  <si>
    <t xml:space="preserve">526200  </t>
  </si>
  <si>
    <t xml:space="preserve">526201  </t>
  </si>
  <si>
    <t xml:space="preserve">526202  </t>
  </si>
  <si>
    <t xml:space="preserve">526203  </t>
  </si>
  <si>
    <t xml:space="preserve">526204  </t>
  </si>
  <si>
    <t xml:space="preserve">526205  </t>
  </si>
  <si>
    <t xml:space="preserve">526206  </t>
  </si>
  <si>
    <t xml:space="preserve">526207  </t>
  </si>
  <si>
    <t xml:space="preserve">526209  </t>
  </si>
  <si>
    <t xml:space="preserve">526212  </t>
  </si>
  <si>
    <t xml:space="preserve">526213  </t>
  </si>
  <si>
    <t xml:space="preserve">539222  </t>
  </si>
  <si>
    <t xml:space="preserve">539220  </t>
  </si>
  <si>
    <t xml:space="preserve">539221  </t>
  </si>
  <si>
    <t xml:space="preserve">539223  </t>
  </si>
  <si>
    <t xml:space="preserve">539225  </t>
  </si>
  <si>
    <t xml:space="preserve">539230  </t>
  </si>
  <si>
    <t xml:space="preserve">539227  </t>
  </si>
  <si>
    <t xml:space="preserve">539224  </t>
  </si>
  <si>
    <t xml:space="preserve">539231  </t>
  </si>
  <si>
    <t xml:space="preserve">539226  </t>
  </si>
  <si>
    <t xml:space="preserve">539229  </t>
  </si>
  <si>
    <t xml:space="preserve">539202  </t>
  </si>
  <si>
    <t xml:space="preserve">539200  </t>
  </si>
  <si>
    <t xml:space="preserve">539201  </t>
  </si>
  <si>
    <t xml:space="preserve">539203  </t>
  </si>
  <si>
    <t xml:space="preserve">539205  </t>
  </si>
  <si>
    <t xml:space="preserve">539213  </t>
  </si>
  <si>
    <t xml:space="preserve">539207  </t>
  </si>
  <si>
    <t xml:space="preserve">539204  </t>
  </si>
  <si>
    <t xml:space="preserve">539212  </t>
  </si>
  <si>
    <t xml:space="preserve">539206  </t>
  </si>
  <si>
    <t xml:space="preserve">539209  </t>
  </si>
  <si>
    <t xml:space="preserve">539242  </t>
  </si>
  <si>
    <t xml:space="preserve">539240  </t>
  </si>
  <si>
    <t xml:space="preserve">539241  </t>
  </si>
  <si>
    <t xml:space="preserve">539243  </t>
  </si>
  <si>
    <t xml:space="preserve">539245  </t>
  </si>
  <si>
    <t xml:space="preserve">539250  </t>
  </si>
  <si>
    <t xml:space="preserve">539247  </t>
  </si>
  <si>
    <t xml:space="preserve">539244  </t>
  </si>
  <si>
    <t xml:space="preserve">539251  </t>
  </si>
  <si>
    <t xml:space="preserve">539246  </t>
  </si>
  <si>
    <t xml:space="preserve">539249  </t>
  </si>
  <si>
    <t xml:space="preserve">539012  </t>
  </si>
  <si>
    <t xml:space="preserve">539009  </t>
  </si>
  <si>
    <t xml:space="preserve">539010  </t>
  </si>
  <si>
    <t xml:space="preserve">539011  </t>
  </si>
  <si>
    <t xml:space="preserve">539019  </t>
  </si>
  <si>
    <t xml:space="preserve">539037  </t>
  </si>
  <si>
    <t xml:space="preserve">539023  </t>
  </si>
  <si>
    <t xml:space="preserve">539015  </t>
  </si>
  <si>
    <t xml:space="preserve">539040  </t>
  </si>
  <si>
    <t xml:space="preserve">539016  </t>
  </si>
  <si>
    <t xml:space="preserve">539025  </t>
  </si>
  <si>
    <t>80/80</t>
  </si>
  <si>
    <t>100/100</t>
  </si>
  <si>
    <t>120/100</t>
  </si>
  <si>
    <t>120/120</t>
  </si>
  <si>
    <t>100/50-75</t>
  </si>
  <si>
    <t xml:space="preserve">542022  </t>
  </si>
  <si>
    <t xml:space="preserve">542018  </t>
  </si>
  <si>
    <t xml:space="preserve">542020  </t>
  </si>
  <si>
    <t xml:space="preserve">542019  </t>
  </si>
  <si>
    <t xml:space="preserve">542028  </t>
  </si>
  <si>
    <t xml:space="preserve">542072  </t>
  </si>
  <si>
    <t xml:space="preserve">542050  </t>
  </si>
  <si>
    <t xml:space="preserve">542023  </t>
  </si>
  <si>
    <t xml:space="preserve">542067  </t>
  </si>
  <si>
    <t xml:space="preserve">542033  </t>
  </si>
  <si>
    <t xml:space="preserve">542061  </t>
  </si>
  <si>
    <t xml:space="preserve">542021  </t>
  </si>
  <si>
    <t xml:space="preserve">542015  </t>
  </si>
  <si>
    <t xml:space="preserve">542017  </t>
  </si>
  <si>
    <t xml:space="preserve">542016  </t>
  </si>
  <si>
    <t xml:space="preserve">542029  </t>
  </si>
  <si>
    <t xml:space="preserve">542073  </t>
  </si>
  <si>
    <t xml:space="preserve">542051  </t>
  </si>
  <si>
    <t xml:space="preserve">542024  </t>
  </si>
  <si>
    <t xml:space="preserve">542068  </t>
  </si>
  <si>
    <t xml:space="preserve">542034  </t>
  </si>
  <si>
    <t xml:space="preserve">542062  </t>
  </si>
  <si>
    <t xml:space="preserve">542004  </t>
  </si>
  <si>
    <t xml:space="preserve">542001  </t>
  </si>
  <si>
    <t xml:space="preserve">542012  </t>
  </si>
  <si>
    <t xml:space="preserve">542002  </t>
  </si>
  <si>
    <t xml:space="preserve">542030  </t>
  </si>
  <si>
    <t xml:space="preserve">542074  </t>
  </si>
  <si>
    <t xml:space="preserve">542052  </t>
  </si>
  <si>
    <t xml:space="preserve">542025  </t>
  </si>
  <si>
    <t xml:space="preserve">542066  </t>
  </si>
  <si>
    <t xml:space="preserve">542035  </t>
  </si>
  <si>
    <t xml:space="preserve">542047  </t>
  </si>
  <si>
    <t xml:space="preserve">542014  </t>
  </si>
  <si>
    <t xml:space="preserve">542005  </t>
  </si>
  <si>
    <t xml:space="preserve">542013  </t>
  </si>
  <si>
    <t xml:space="preserve">542006  </t>
  </si>
  <si>
    <t xml:space="preserve">542031  </t>
  </si>
  <si>
    <t xml:space="preserve">542076  </t>
  </si>
  <si>
    <t xml:space="preserve">542053  </t>
  </si>
  <si>
    <t xml:space="preserve">542026  </t>
  </si>
  <si>
    <t xml:space="preserve">542070  </t>
  </si>
  <si>
    <t xml:space="preserve">542036  </t>
  </si>
  <si>
    <t xml:space="preserve">542064  </t>
  </si>
  <si>
    <t xml:space="preserve">542011  </t>
  </si>
  <si>
    <t xml:space="preserve">542007  </t>
  </si>
  <si>
    <t xml:space="preserve">542010  </t>
  </si>
  <si>
    <t xml:space="preserve">542008  </t>
  </si>
  <si>
    <t xml:space="preserve">542032  </t>
  </si>
  <si>
    <t xml:space="preserve">542077  </t>
  </si>
  <si>
    <t xml:space="preserve">542054  </t>
  </si>
  <si>
    <t xml:space="preserve">542027  </t>
  </si>
  <si>
    <t xml:space="preserve">542071  </t>
  </si>
  <si>
    <t xml:space="preserve">542037  </t>
  </si>
  <si>
    <t xml:space="preserve">542065  </t>
  </si>
  <si>
    <t xml:space="preserve">542082  </t>
  </si>
  <si>
    <t xml:space="preserve">542080  </t>
  </si>
  <si>
    <t xml:space="preserve">542081  </t>
  </si>
  <si>
    <t xml:space="preserve">542083  </t>
  </si>
  <si>
    <t xml:space="preserve">542084  </t>
  </si>
  <si>
    <t xml:space="preserve">542090  </t>
  </si>
  <si>
    <t xml:space="preserve">542086  </t>
  </si>
  <si>
    <t xml:space="preserve">542087  </t>
  </si>
  <si>
    <t xml:space="preserve">542089  </t>
  </si>
  <si>
    <t xml:space="preserve">542085  </t>
  </si>
  <si>
    <t xml:space="preserve">542088  </t>
  </si>
  <si>
    <t xml:space="preserve">537211  </t>
  </si>
  <si>
    <t xml:space="preserve">537300  </t>
  </si>
  <si>
    <t xml:space="preserve">537210  </t>
  </si>
  <si>
    <t xml:space="preserve">537212  </t>
  </si>
  <si>
    <t xml:space="preserve">537214  </t>
  </si>
  <si>
    <t xml:space="preserve">537252  </t>
  </si>
  <si>
    <t xml:space="preserve">537216  </t>
  </si>
  <si>
    <t xml:space="preserve">537213  </t>
  </si>
  <si>
    <t xml:space="preserve">537256  </t>
  </si>
  <si>
    <t xml:space="preserve">537215  </t>
  </si>
  <si>
    <t xml:space="preserve">537248  </t>
  </si>
  <si>
    <t xml:space="preserve">537221  </t>
  </si>
  <si>
    <t xml:space="preserve">537301  </t>
  </si>
  <si>
    <t xml:space="preserve">537220  </t>
  </si>
  <si>
    <t xml:space="preserve">537222  </t>
  </si>
  <si>
    <t xml:space="preserve">537224  </t>
  </si>
  <si>
    <t xml:space="preserve">537253  </t>
  </si>
  <si>
    <t xml:space="preserve">537217  </t>
  </si>
  <si>
    <t xml:space="preserve">537223  </t>
  </si>
  <si>
    <t xml:space="preserve">537250  </t>
  </si>
  <si>
    <t xml:space="preserve">537225  </t>
  </si>
  <si>
    <t xml:space="preserve">537227  </t>
  </si>
  <si>
    <t xml:space="preserve">537231  </t>
  </si>
  <si>
    <t xml:space="preserve">537302  </t>
  </si>
  <si>
    <t xml:space="preserve">537230  </t>
  </si>
  <si>
    <t xml:space="preserve">537232  </t>
  </si>
  <si>
    <t xml:space="preserve">537234  </t>
  </si>
  <si>
    <t xml:space="preserve">537254  </t>
  </si>
  <si>
    <t xml:space="preserve">537218  </t>
  </si>
  <si>
    <t xml:space="preserve">537233  </t>
  </si>
  <si>
    <t xml:space="preserve">537251  </t>
  </si>
  <si>
    <t xml:space="preserve">537235  </t>
  </si>
  <si>
    <t xml:space="preserve">537237  </t>
  </si>
  <si>
    <t xml:space="preserve">537241  </t>
  </si>
  <si>
    <t xml:space="preserve">537303  </t>
  </si>
  <si>
    <t xml:space="preserve">537240  </t>
  </si>
  <si>
    <t xml:space="preserve">537242  </t>
  </si>
  <si>
    <t xml:space="preserve">537244  </t>
  </si>
  <si>
    <t xml:space="preserve">537255  </t>
  </si>
  <si>
    <t xml:space="preserve">537219  </t>
  </si>
  <si>
    <t xml:space="preserve">537243  </t>
  </si>
  <si>
    <t xml:space="preserve">537258  </t>
  </si>
  <si>
    <t xml:space="preserve">537245  </t>
  </si>
  <si>
    <t xml:space="preserve">537249  </t>
  </si>
  <si>
    <t>80/1000</t>
  </si>
  <si>
    <t>100/1000</t>
  </si>
  <si>
    <t>120/1000</t>
  </si>
  <si>
    <t xml:space="preserve">668114  </t>
  </si>
  <si>
    <t xml:space="preserve">668110  </t>
  </si>
  <si>
    <t xml:space="preserve">668113  </t>
  </si>
  <si>
    <t xml:space="preserve">668115  </t>
  </si>
  <si>
    <t xml:space="preserve">668117  </t>
  </si>
  <si>
    <t xml:space="preserve">668122  </t>
  </si>
  <si>
    <t xml:space="preserve">668119  </t>
  </si>
  <si>
    <t xml:space="preserve">668116  </t>
  </si>
  <si>
    <t xml:space="preserve">668123  </t>
  </si>
  <si>
    <t xml:space="preserve">668118  </t>
  </si>
  <si>
    <t xml:space="preserve">668121  </t>
  </si>
  <si>
    <t xml:space="preserve">668131  </t>
  </si>
  <si>
    <t xml:space="preserve">668111  </t>
  </si>
  <si>
    <t xml:space="preserve">668130  </t>
  </si>
  <si>
    <t xml:space="preserve">668132  </t>
  </si>
  <si>
    <t xml:space="preserve">668134  </t>
  </si>
  <si>
    <t xml:space="preserve">668142  </t>
  </si>
  <si>
    <t xml:space="preserve">668136  </t>
  </si>
  <si>
    <t xml:space="preserve">668133  </t>
  </si>
  <si>
    <t xml:space="preserve">668141  </t>
  </si>
  <si>
    <t xml:space="preserve">668135  </t>
  </si>
  <si>
    <t xml:space="preserve">668138  </t>
  </si>
  <si>
    <t xml:space="preserve">668151  </t>
  </si>
  <si>
    <t xml:space="preserve">668112  </t>
  </si>
  <si>
    <t xml:space="preserve">668150  </t>
  </si>
  <si>
    <t xml:space="preserve">668152  </t>
  </si>
  <si>
    <t xml:space="preserve">668154  </t>
  </si>
  <si>
    <t xml:space="preserve">668159  </t>
  </si>
  <si>
    <t xml:space="preserve">668156  </t>
  </si>
  <si>
    <t xml:space="preserve">668153  </t>
  </si>
  <si>
    <t xml:space="preserve">668160  </t>
  </si>
  <si>
    <t xml:space="preserve">668155  </t>
  </si>
  <si>
    <t xml:space="preserve">668158  </t>
  </si>
  <si>
    <t xml:space="preserve">668103  </t>
  </si>
  <si>
    <t xml:space="preserve">668300  </t>
  </si>
  <si>
    <t xml:space="preserve">668301  </t>
  </si>
  <si>
    <t xml:space="preserve">668302  </t>
  </si>
  <si>
    <t xml:space="preserve">668303  </t>
  </si>
  <si>
    <t xml:space="preserve">668304  </t>
  </si>
  <si>
    <t xml:space="preserve">668305  </t>
  </si>
  <si>
    <t xml:space="preserve">668306  </t>
  </si>
  <si>
    <t xml:space="preserve">668307  </t>
  </si>
  <si>
    <t xml:space="preserve">668308  </t>
  </si>
  <si>
    <t xml:space="preserve">668309  </t>
  </si>
  <si>
    <t xml:space="preserve">668104  </t>
  </si>
  <si>
    <t xml:space="preserve">668320  </t>
  </si>
  <si>
    <t xml:space="preserve">668321  </t>
  </si>
  <si>
    <t xml:space="preserve">668322  </t>
  </si>
  <si>
    <t xml:space="preserve">668323  </t>
  </si>
  <si>
    <t xml:space="preserve">668324  </t>
  </si>
  <si>
    <t xml:space="preserve">668325  </t>
  </si>
  <si>
    <t xml:space="preserve">668326  </t>
  </si>
  <si>
    <t xml:space="preserve">668327  </t>
  </si>
  <si>
    <t xml:space="preserve">668328  </t>
  </si>
  <si>
    <t xml:space="preserve">668329  </t>
  </si>
  <si>
    <t xml:space="preserve">668105  </t>
  </si>
  <si>
    <t xml:space="preserve">668340  </t>
  </si>
  <si>
    <t xml:space="preserve">668341  </t>
  </si>
  <si>
    <t xml:space="preserve">668342  </t>
  </si>
  <si>
    <t xml:space="preserve">668343  </t>
  </si>
  <si>
    <t xml:space="preserve">668344  </t>
  </si>
  <si>
    <t xml:space="preserve">668345  </t>
  </si>
  <si>
    <t xml:space="preserve">668346  </t>
  </si>
  <si>
    <t xml:space="preserve">668347  </t>
  </si>
  <si>
    <t xml:space="preserve">668348  </t>
  </si>
  <si>
    <t xml:space="preserve">668349  </t>
  </si>
  <si>
    <t xml:space="preserve">550005  </t>
  </si>
  <si>
    <t xml:space="preserve">550100  </t>
  </si>
  <si>
    <t xml:space="preserve">550101  </t>
  </si>
  <si>
    <t xml:space="preserve">550102  </t>
  </si>
  <si>
    <t xml:space="preserve">550103  </t>
  </si>
  <si>
    <t xml:space="preserve">550104  </t>
  </si>
  <si>
    <t xml:space="preserve">550105  </t>
  </si>
  <si>
    <t xml:space="preserve">550106  </t>
  </si>
  <si>
    <t xml:space="preserve">550107  </t>
  </si>
  <si>
    <t xml:space="preserve">550108  </t>
  </si>
  <si>
    <t xml:space="preserve">550109  </t>
  </si>
  <si>
    <t xml:space="preserve">550006  </t>
  </si>
  <si>
    <t xml:space="preserve">550120  </t>
  </si>
  <si>
    <t xml:space="preserve">550121  </t>
  </si>
  <si>
    <t xml:space="preserve">550122  </t>
  </si>
  <si>
    <t xml:space="preserve">550123  </t>
  </si>
  <si>
    <t xml:space="preserve">550124  </t>
  </si>
  <si>
    <t xml:space="preserve">550125  </t>
  </si>
  <si>
    <t xml:space="preserve">550126  </t>
  </si>
  <si>
    <t xml:space="preserve">550127  </t>
  </si>
  <si>
    <t xml:space="preserve">550128  </t>
  </si>
  <si>
    <t xml:space="preserve">550129  </t>
  </si>
  <si>
    <t xml:space="preserve">550007  </t>
  </si>
  <si>
    <t xml:space="preserve">550140  </t>
  </si>
  <si>
    <t xml:space="preserve">550141  </t>
  </si>
  <si>
    <t xml:space="preserve">550142  </t>
  </si>
  <si>
    <t xml:space="preserve">550143  </t>
  </si>
  <si>
    <t xml:space="preserve">550144  </t>
  </si>
  <si>
    <t xml:space="preserve">550145  </t>
  </si>
  <si>
    <t xml:space="preserve">550146  </t>
  </si>
  <si>
    <t xml:space="preserve">550147  </t>
  </si>
  <si>
    <t xml:space="preserve">550148  </t>
  </si>
  <si>
    <t xml:space="preserve">550149  </t>
  </si>
  <si>
    <t xml:space="preserve">553010  </t>
  </si>
  <si>
    <t xml:space="preserve">553011  </t>
  </si>
  <si>
    <t xml:space="preserve">553012  </t>
  </si>
  <si>
    <t xml:space="preserve">553013  </t>
  </si>
  <si>
    <t xml:space="preserve">553014  </t>
  </si>
  <si>
    <t xml:space="preserve">553015  </t>
  </si>
  <si>
    <t xml:space="preserve">553016  </t>
  </si>
  <si>
    <t xml:space="preserve">553017  </t>
  </si>
  <si>
    <t xml:space="preserve">553018  </t>
  </si>
  <si>
    <t xml:space="preserve">553019  </t>
  </si>
  <si>
    <t xml:space="preserve">553020  </t>
  </si>
  <si>
    <t xml:space="preserve">533001  </t>
  </si>
  <si>
    <t xml:space="preserve">533003  </t>
  </si>
  <si>
    <t xml:space="preserve">533004  </t>
  </si>
  <si>
    <t xml:space="preserve">533007  </t>
  </si>
  <si>
    <t xml:space="preserve">533008  </t>
  </si>
  <si>
    <t xml:space="preserve">533009  </t>
  </si>
  <si>
    <t xml:space="preserve">533010  </t>
  </si>
  <si>
    <t xml:space="preserve">533014  </t>
  </si>
  <si>
    <t xml:space="preserve">533016  </t>
  </si>
  <si>
    <t xml:space="preserve">533017  </t>
  </si>
  <si>
    <t xml:space="preserve">533025  </t>
  </si>
  <si>
    <t>4,1mm</t>
  </si>
  <si>
    <t>4,8mm</t>
  </si>
  <si>
    <t xml:space="preserve">533002  </t>
  </si>
  <si>
    <t xml:space="preserve">667002  </t>
  </si>
  <si>
    <t xml:space="preserve">667003  </t>
  </si>
  <si>
    <t xml:space="preserve">667004  </t>
  </si>
  <si>
    <t xml:space="preserve">667005  </t>
  </si>
  <si>
    <t xml:space="preserve">667006  </t>
  </si>
  <si>
    <t xml:space="preserve">667007  </t>
  </si>
  <si>
    <t xml:space="preserve">667009  </t>
  </si>
  <si>
    <t xml:space="preserve">667012  </t>
  </si>
  <si>
    <t xml:space="preserve">667013  </t>
  </si>
  <si>
    <t xml:space="preserve">667014  </t>
  </si>
  <si>
    <t xml:space="preserve">667020  </t>
  </si>
  <si>
    <t>5mm</t>
  </si>
  <si>
    <t>50ml</t>
  </si>
  <si>
    <t>0,75l</t>
  </si>
  <si>
    <t xml:space="preserve">430140  </t>
  </si>
  <si>
    <t xml:space="preserve">430141  </t>
  </si>
  <si>
    <t xml:space="preserve">430007  </t>
  </si>
  <si>
    <t xml:space="preserve">430008  </t>
  </si>
  <si>
    <t xml:space="preserve">430019  </t>
  </si>
  <si>
    <t xml:space="preserve">430020  </t>
  </si>
  <si>
    <t xml:space="preserve">430021  </t>
  </si>
  <si>
    <t xml:space="preserve">430022  </t>
  </si>
  <si>
    <t xml:space="preserve">430027  </t>
  </si>
  <si>
    <t xml:space="preserve">430031  </t>
  </si>
  <si>
    <t xml:space="preserve">430115  </t>
  </si>
  <si>
    <t>blende 25er</t>
  </si>
  <si>
    <t>blende 28er</t>
  </si>
  <si>
    <t>blende 33er</t>
  </si>
  <si>
    <t>blende 40er</t>
  </si>
  <si>
    <t>547102 547057</t>
  </si>
  <si>
    <t xml:space="preserve">547102 547052  </t>
  </si>
  <si>
    <t xml:space="preserve">547102 547050  </t>
  </si>
  <si>
    <t xml:space="preserve">547102 547055  </t>
  </si>
  <si>
    <t xml:space="preserve">547102 547051  </t>
  </si>
  <si>
    <t xml:space="preserve">547102 547053  </t>
  </si>
  <si>
    <t xml:space="preserve">547102 547056  </t>
  </si>
  <si>
    <t xml:space="preserve">547102 547054  </t>
  </si>
  <si>
    <t xml:space="preserve">547102 547049  </t>
  </si>
  <si>
    <t xml:space="preserve">547102 547016  </t>
  </si>
  <si>
    <t xml:space="preserve">547102 547019  </t>
  </si>
  <si>
    <t xml:space="preserve">547101 547042  </t>
  </si>
  <si>
    <t xml:space="preserve">547101 547040  </t>
  </si>
  <si>
    <t xml:space="preserve">547101 547045  </t>
  </si>
  <si>
    <t xml:space="preserve">547101 547041  </t>
  </si>
  <si>
    <t xml:space="preserve">547101 547043  </t>
  </si>
  <si>
    <t xml:space="preserve">547101 547046  </t>
  </si>
  <si>
    <t xml:space="preserve">547101 547044  </t>
  </si>
  <si>
    <t xml:space="preserve">547101 547048  </t>
  </si>
  <si>
    <t xml:space="preserve">547101 547015  </t>
  </si>
  <si>
    <t xml:space="preserve">547101 547017  </t>
  </si>
  <si>
    <t xml:space="preserve">547100 547022  </t>
  </si>
  <si>
    <t xml:space="preserve">547100 547020  </t>
  </si>
  <si>
    <t xml:space="preserve">547100 547024  </t>
  </si>
  <si>
    <t xml:space="preserve">547100 547021  </t>
  </si>
  <si>
    <t xml:space="preserve">547100 547025  </t>
  </si>
  <si>
    <t xml:space="preserve">547100 547030  </t>
  </si>
  <si>
    <t xml:space="preserve">547100 547023  </t>
  </si>
  <si>
    <t xml:space="preserve">547100 547028  </t>
  </si>
  <si>
    <t xml:space="preserve">547100 547018  </t>
  </si>
  <si>
    <t xml:space="preserve">547103 547037  </t>
  </si>
  <si>
    <t xml:space="preserve">547103 547035  </t>
  </si>
  <si>
    <t xml:space="preserve">547103 547036  </t>
  </si>
  <si>
    <t xml:space="preserve">547106  547083  </t>
  </si>
  <si>
    <t xml:space="preserve">547106  547082  </t>
  </si>
  <si>
    <t xml:space="preserve">547106  547080  </t>
  </si>
  <si>
    <t xml:space="preserve">547106  547081  </t>
  </si>
  <si>
    <t xml:space="preserve">547105 547066  </t>
  </si>
  <si>
    <t xml:space="preserve">547105 547062  </t>
  </si>
  <si>
    <t xml:space="preserve">547105 547060  </t>
  </si>
  <si>
    <t xml:space="preserve">547105 547065  </t>
  </si>
  <si>
    <t xml:space="preserve">547105 547061  </t>
  </si>
  <si>
    <t xml:space="preserve">547105 547063  </t>
  </si>
  <si>
    <t xml:space="preserve">547105 547067  </t>
  </si>
  <si>
    <t xml:space="preserve">547105 547064  </t>
  </si>
  <si>
    <t xml:space="preserve">547105 547068  </t>
  </si>
  <si>
    <t xml:space="preserve">547105 547085  </t>
  </si>
  <si>
    <t xml:space="preserve">547105 547069  </t>
  </si>
  <si>
    <t xml:space="preserve">547104 547073  </t>
  </si>
  <si>
    <t xml:space="preserve">547104 547072  </t>
  </si>
  <si>
    <t xml:space="preserve">547104 547070  </t>
  </si>
  <si>
    <t xml:space="preserve">547104 547071  </t>
  </si>
  <si>
    <t xml:space="preserve">547001  </t>
  </si>
  <si>
    <t>dila 25er</t>
  </si>
  <si>
    <t>dila 28er</t>
  </si>
  <si>
    <t>dila 33er</t>
  </si>
  <si>
    <t>dila 40er</t>
  </si>
  <si>
    <t xml:space="preserve">547002  </t>
  </si>
  <si>
    <t xml:space="preserve">547003  </t>
  </si>
  <si>
    <t xml:space="preserve">547010  </t>
  </si>
  <si>
    <t xml:space="preserve">547008  </t>
  </si>
  <si>
    <t xml:space="preserve">547009  </t>
  </si>
  <si>
    <t xml:space="preserve">547011  </t>
  </si>
  <si>
    <t>PREFA Saumrinnenstutzen</t>
  </si>
  <si>
    <t>PREFA Wandmontageplatte</t>
  </si>
  <si>
    <t xml:space="preserve">539007  </t>
  </si>
  <si>
    <t xml:space="preserve">539002  </t>
  </si>
  <si>
    <t xml:space="preserve">539005  </t>
  </si>
  <si>
    <t xml:space="preserve">539001  </t>
  </si>
  <si>
    <t xml:space="preserve">539020  </t>
  </si>
  <si>
    <t xml:space="preserve">539038  </t>
  </si>
  <si>
    <t xml:space="preserve">539022  </t>
  </si>
  <si>
    <t xml:space="preserve">539013  </t>
  </si>
  <si>
    <t xml:space="preserve">539036  </t>
  </si>
  <si>
    <t xml:space="preserve">539014  </t>
  </si>
  <si>
    <t xml:space="preserve">539030  </t>
  </si>
  <si>
    <t xml:space="preserve">539008  </t>
  </si>
  <si>
    <t xml:space="preserve">539004  </t>
  </si>
  <si>
    <t xml:space="preserve">539006  </t>
  </si>
  <si>
    <t xml:space="preserve">539003  </t>
  </si>
  <si>
    <t xml:space="preserve">539021  </t>
  </si>
  <si>
    <t xml:space="preserve">539039  </t>
  </si>
  <si>
    <t xml:space="preserve">539024  </t>
  </si>
  <si>
    <t xml:space="preserve">539017  </t>
  </si>
  <si>
    <t xml:space="preserve">539041  </t>
  </si>
  <si>
    <t xml:space="preserve">539018  </t>
  </si>
  <si>
    <t xml:space="preserve">539026  </t>
  </si>
  <si>
    <t>100/80</t>
  </si>
  <si>
    <t xml:space="preserve">542038  </t>
  </si>
  <si>
    <t xml:space="preserve">542039  </t>
  </si>
  <si>
    <t xml:space="preserve">542041  </t>
  </si>
  <si>
    <t xml:space="preserve">542044  </t>
  </si>
  <si>
    <t xml:space="preserve">542075  </t>
  </si>
  <si>
    <t xml:space="preserve">542055  </t>
  </si>
  <si>
    <t xml:space="preserve">542042  </t>
  </si>
  <si>
    <t xml:space="preserve">542040  </t>
  </si>
  <si>
    <t xml:space="preserve">542069  </t>
  </si>
  <si>
    <t xml:space="preserve">542043  </t>
  </si>
  <si>
    <t xml:space="preserve">542063  </t>
  </si>
  <si>
    <t>120/80</t>
  </si>
  <si>
    <t xml:space="preserve">040300  </t>
  </si>
  <si>
    <t xml:space="preserve">040301  </t>
  </si>
  <si>
    <t xml:space="preserve">040302  </t>
  </si>
  <si>
    <t xml:space="preserve">040303  </t>
  </si>
  <si>
    <t xml:space="preserve">040304  </t>
  </si>
  <si>
    <t xml:space="preserve">040305  </t>
  </si>
  <si>
    <t xml:space="preserve">040308  </t>
  </si>
  <si>
    <t xml:space="preserve">040440  </t>
  </si>
  <si>
    <t xml:space="preserve">040441  </t>
  </si>
  <si>
    <t xml:space="preserve">040442  </t>
  </si>
  <si>
    <t xml:space="preserve">040307  </t>
  </si>
  <si>
    <t xml:space="preserve">040200  </t>
  </si>
  <si>
    <t xml:space="preserve">040201  </t>
  </si>
  <si>
    <t xml:space="preserve">040202  </t>
  </si>
  <si>
    <t xml:space="preserve">040203  </t>
  </si>
  <si>
    <t xml:space="preserve">040204  </t>
  </si>
  <si>
    <t xml:space="preserve">040205  </t>
  </si>
  <si>
    <t xml:space="preserve">040206  </t>
  </si>
  <si>
    <t xml:space="preserve">040207  </t>
  </si>
  <si>
    <t xml:space="preserve">040208  </t>
  </si>
  <si>
    <t xml:space="preserve">040480  </t>
  </si>
  <si>
    <t xml:space="preserve">040481  </t>
  </si>
  <si>
    <t xml:space="preserve">040482  </t>
  </si>
  <si>
    <t xml:space="preserve">040100  </t>
  </si>
  <si>
    <t xml:space="preserve">040101  </t>
  </si>
  <si>
    <t xml:space="preserve">040102  </t>
  </si>
  <si>
    <t xml:space="preserve">040103  </t>
  </si>
  <si>
    <t xml:space="preserve">040104  </t>
  </si>
  <si>
    <t xml:space="preserve">040105  </t>
  </si>
  <si>
    <t xml:space="preserve">040107  </t>
  </si>
  <si>
    <t xml:space="preserve">040108  </t>
  </si>
  <si>
    <t xml:space="preserve">040400  </t>
  </si>
  <si>
    <t xml:space="preserve">040401  </t>
  </si>
  <si>
    <t xml:space="preserve">040402  </t>
  </si>
  <si>
    <t xml:space="preserve">030724  </t>
  </si>
  <si>
    <t xml:space="preserve">030722  </t>
  </si>
  <si>
    <t xml:space="preserve">040306  </t>
  </si>
  <si>
    <t xml:space="preserve">035101  </t>
  </si>
  <si>
    <t xml:space="preserve">030340  </t>
  </si>
  <si>
    <t xml:space="preserve">030806  </t>
  </si>
  <si>
    <t xml:space="preserve">030807  </t>
  </si>
  <si>
    <t xml:space="preserve">030804  </t>
  </si>
  <si>
    <t xml:space="preserve">030370  </t>
  </si>
  <si>
    <t xml:space="preserve">030110  </t>
  </si>
  <si>
    <t xml:space="preserve">030361  </t>
  </si>
  <si>
    <t xml:space="preserve">030362  </t>
  </si>
  <si>
    <t xml:space="preserve">030369  </t>
  </si>
  <si>
    <t xml:space="preserve">040106  </t>
  </si>
  <si>
    <t xml:space="preserve">030124  </t>
  </si>
  <si>
    <t xml:space="preserve">030123  </t>
  </si>
  <si>
    <t xml:space="preserve">040420  </t>
  </si>
  <si>
    <t xml:space="preserve">040120  </t>
  </si>
  <si>
    <t xml:space="preserve">040123  </t>
  </si>
  <si>
    <t xml:space="preserve">040122  </t>
  </si>
  <si>
    <t xml:space="preserve">040127  </t>
  </si>
  <si>
    <t xml:space="preserve">040126  </t>
  </si>
  <si>
    <t xml:space="preserve">040121  </t>
  </si>
  <si>
    <t xml:space="preserve">040422  </t>
  </si>
  <si>
    <t xml:space="preserve">040128  </t>
  </si>
  <si>
    <t xml:space="preserve">040124  </t>
  </si>
  <si>
    <t xml:space="preserve">040125  </t>
  </si>
  <si>
    <t xml:space="preserve">040421  </t>
  </si>
  <si>
    <t xml:space="preserve">030803  </t>
  </si>
  <si>
    <t xml:space="preserve">030802  </t>
  </si>
  <si>
    <t xml:space="preserve">030154  </t>
  </si>
  <si>
    <t xml:space="preserve">030152  </t>
  </si>
  <si>
    <t xml:space="preserve">040323  </t>
  </si>
  <si>
    <t xml:space="preserve">040322  </t>
  </si>
  <si>
    <t xml:space="preserve">040327  </t>
  </si>
  <si>
    <t xml:space="preserve">040326  </t>
  </si>
  <si>
    <t xml:space="preserve">040321  </t>
  </si>
  <si>
    <t xml:space="preserve">040328  </t>
  </si>
  <si>
    <t xml:space="preserve">040324  </t>
  </si>
  <si>
    <t xml:space="preserve">040325  </t>
  </si>
  <si>
    <t xml:space="preserve">040460  </t>
  </si>
  <si>
    <t xml:space="preserve">040320  </t>
  </si>
  <si>
    <t xml:space="preserve">040462  </t>
  </si>
  <si>
    <t xml:space="preserve">040461  </t>
  </si>
  <si>
    <t xml:space="preserve">030514  </t>
  </si>
  <si>
    <t xml:space="preserve">030513  </t>
  </si>
  <si>
    <t xml:space="preserve">040500  </t>
  </si>
  <si>
    <t xml:space="preserve">040220  </t>
  </si>
  <si>
    <t xml:space="preserve">040223  </t>
  </si>
  <si>
    <t xml:space="preserve">040222  </t>
  </si>
  <si>
    <t xml:space="preserve">040227  </t>
  </si>
  <si>
    <t xml:space="preserve">040226  </t>
  </si>
  <si>
    <t xml:space="preserve">040221  </t>
  </si>
  <si>
    <t xml:space="preserve">040502  </t>
  </si>
  <si>
    <t xml:space="preserve">040228  </t>
  </si>
  <si>
    <t xml:space="preserve">040224  </t>
  </si>
  <si>
    <t xml:space="preserve">040225  </t>
  </si>
  <si>
    <t xml:space="preserve">040501  </t>
  </si>
  <si>
    <t>13 naturblank</t>
  </si>
  <si>
    <t>12 silbermetallic</t>
  </si>
  <si>
    <t>45 bronze</t>
  </si>
  <si>
    <t>46 patina grün</t>
  </si>
  <si>
    <t>23 schwarzgrau</t>
  </si>
  <si>
    <t>47 patina grau</t>
  </si>
  <si>
    <t>01 braun</t>
  </si>
  <si>
    <t>02 anthrazit</t>
  </si>
  <si>
    <t>02 anthracite</t>
  </si>
  <si>
    <t xml:space="preserve">02 antracit </t>
  </si>
  <si>
    <t>02 antracitová</t>
  </si>
  <si>
    <t>02 antracitna</t>
  </si>
  <si>
    <t>03 schwarz</t>
  </si>
  <si>
    <t>04 ziegelrot</t>
  </si>
  <si>
    <t>05 oxydrot</t>
  </si>
  <si>
    <t>06 moosgrün</t>
  </si>
  <si>
    <t>07 hellgrau</t>
  </si>
  <si>
    <t>08 zinkgrau</t>
  </si>
  <si>
    <t>10 prefaweiß</t>
  </si>
  <si>
    <t>11 nussbraun</t>
  </si>
  <si>
    <t>Couleur:</t>
  </si>
  <si>
    <t>Filtr</t>
  </si>
  <si>
    <t>PREFA Okapnička pod folii-hladká 230 x 2.000 x 0,7 mm</t>
  </si>
  <si>
    <t>0,75 l plechovka</t>
  </si>
  <si>
    <t xml:space="preserve">1: zakliknutím vybrat ožadovaný produkt </t>
  </si>
  <si>
    <t>100 ø_</t>
  </si>
  <si>
    <t>195 mm délka</t>
  </si>
  <si>
    <t>2: Všechny šedě podložená pole jsou opatřeny před definovaným výběrem nebo je možné je doplnit je možné doplnit</t>
  </si>
  <si>
    <t>290 ml postačí na cca. 4 bm</t>
  </si>
  <si>
    <t>3: Vybrána mohou být všechna nabídková pole</t>
  </si>
  <si>
    <t xml:space="preserve">4: Bylo-li vybráno práškové lakování, zobrazí se dodatečně políčko pro výběr požadované barvy </t>
  </si>
  <si>
    <t>50 ml lahvička se štětečkem</t>
  </si>
  <si>
    <t>60 mm přesah</t>
  </si>
  <si>
    <t>Návod k použití</t>
  </si>
  <si>
    <t>Odvodňovací systém</t>
  </si>
  <si>
    <t>STŘEŠNÍ PANEL FX.12</t>
  </si>
  <si>
    <t>STŘEŠNÍ PANEL R.16</t>
  </si>
  <si>
    <t>STŘEŠNÍ ŠABLONA 29x29</t>
  </si>
  <si>
    <t>STŘEŠNÍ ŠABLONA 44x44</t>
  </si>
  <si>
    <t>Falcovaný šindel</t>
  </si>
  <si>
    <t>Rozměr není možný</t>
  </si>
  <si>
    <t>Zvolit rozměr</t>
  </si>
  <si>
    <t>krátký</t>
  </si>
  <si>
    <t>dlouhý</t>
  </si>
  <si>
    <t>Zvolit délku</t>
  </si>
  <si>
    <t>normální</t>
  </si>
  <si>
    <t>Ø100 mm vhodné pro napojení do HT/KG DN 110 mm</t>
  </si>
  <si>
    <t>Ø115 mm vhodné pro napojení do HT/KG DN 125 mm</t>
  </si>
  <si>
    <t>PREFA Plastová krytka trnu k objímce</t>
  </si>
  <si>
    <t>PREFA Svodový řetěz 5 mm</t>
  </si>
  <si>
    <t>PREFA Kruhový svod robustní 1,6 mm DN 100</t>
  </si>
  <si>
    <t>PREFA Kruhový svod DN 60 svařovaný</t>
  </si>
  <si>
    <t>PREFA Svody</t>
  </si>
  <si>
    <t>PREFA Hliníkový žlab s ochranou folií na vnější straně</t>
  </si>
  <si>
    <t>PREFA Hliníkový žlab hranatý</t>
  </si>
  <si>
    <t>PREFA Alu letovací tyčinky</t>
  </si>
  <si>
    <t>PREFA Svorka bleskosvodu</t>
  </si>
  <si>
    <t>PREFA Zpevňující prvek žlabu</t>
  </si>
  <si>
    <t>PREFA Poklop výlezového okna</t>
  </si>
  <si>
    <t>PREFA Výlezové okno včetně dřevěného rámu (vnitřní rozměr 600x600mm)</t>
  </si>
  <si>
    <t>PREFA Poklop výlezového okna (vnitřní rozměr 600 x 600 mm)</t>
  </si>
  <si>
    <t>PREFA Střešní šablona (29x29 mm, 120 ks./balení)</t>
  </si>
  <si>
    <t>PREFA Střešní šablona (440 x 440 mm, 42 ks./balení)</t>
  </si>
  <si>
    <t>PREFA Odvodňovací systémy</t>
  </si>
  <si>
    <t>PREFA Falcovaný šindel (420 x 240 mm)</t>
  </si>
  <si>
    <t>PREFA Dilatace</t>
  </si>
  <si>
    <t>PREFA EAP dle EN 795 třída A (šířka pásů do 650)</t>
  </si>
  <si>
    <t xml:space="preserve">PREFA spojka trubky sněhové zábrany </t>
  </si>
  <si>
    <t>PREFA Prostup pro panely R.16 a FX.12, hladký, Ø 80 - 125 mm</t>
  </si>
  <si>
    <t>PREFA Prostup pro Falcovanou šablonu 29x29, hladký, Ø 80 - 125 mm</t>
  </si>
  <si>
    <t>PREFA Prostup pro Falcovanou šablonu 44x44, hladký Ø 80 - 125 mm</t>
  </si>
  <si>
    <t>PREFA Prostup pro falcovaný šindel</t>
  </si>
  <si>
    <t>PREFA Okapový plech pod folii 230 x 2.000 x 0.7 mm</t>
  </si>
  <si>
    <t>PREFA Okapový plech hladký</t>
  </si>
  <si>
    <t xml:space="preserve">PREFA Zachytávač ledu </t>
  </si>
  <si>
    <t>PREFA Ukončovací šablona (1,48 ks./bm, 40 ks./balení)</t>
  </si>
  <si>
    <t>PREFA Ukončovací šablona (2,2 ks./bm, 100 ks./balení)</t>
  </si>
  <si>
    <t>PREFA Nástavec odvětrání Ø 100</t>
  </si>
  <si>
    <t>PREFA Nástavec odvětrání Ø 120</t>
  </si>
  <si>
    <t>PREFA Odvětrávací haubna stucco pro Falcovaný šindel 420 x 240 mm
průřez odvětrání ca. 30 cm²</t>
  </si>
  <si>
    <t>PREFA Froschmaulluken-Haube zum aufnieten, Lüftungsquerschnitt ca. 30 cm²</t>
  </si>
  <si>
    <t>PREFA FX.12 Střešní panel malý (700 x 420 mm)</t>
  </si>
  <si>
    <t>PREFA FX.12 Střešní panel velký (1.400 x 420 mm)</t>
  </si>
  <si>
    <t>PREFA Gumové těsnění pro zaústění do HT/KG DN 110 mm</t>
  </si>
  <si>
    <t>PREFA Excentrický držák</t>
  </si>
  <si>
    <t>PREFA Žlabová dilatace s návalkou a krytem gumy</t>
  </si>
  <si>
    <t>PREFA Žlabová dilatace bez návalky a krytu gumy</t>
  </si>
  <si>
    <t>PREFA Dřevěný rám (vnitřní rozměr 600 x 600 mm)</t>
  </si>
  <si>
    <t>PREFA Žlabová dilatace hranatá s návalkou a krytem gumy</t>
  </si>
  <si>
    <t>PREFA Čelo žlabu pro hranaté žlaby</t>
  </si>
  <si>
    <t>PREFA Hranatý kotlík</t>
  </si>
  <si>
    <t>PREFA Roh hranatého žlabu vnější 90°</t>
  </si>
  <si>
    <t>PREFA Roh hranatého žlabu vnitřní 90°</t>
  </si>
  <si>
    <t>PREFA Nalepovací prostup pro falcované střechy Ø 120-170 mm</t>
  </si>
  <si>
    <t>PREFA Nalepovací prostup pro falcované střechy Ø 170-210 mm</t>
  </si>
  <si>
    <t>PREFA Nalepovací prostup pro falcované střechy Ø 50-65 mm</t>
  </si>
  <si>
    <t>PREFA Nalepovací prostup pro falcované střechy Ø 80-125 mm</t>
  </si>
  <si>
    <t>PREFA Kulaté čelo žlabu</t>
  </si>
  <si>
    <t>PREFA Lapač listí (pouze v hnědé barvě)</t>
  </si>
  <si>
    <t>PREFA Trn se závitem M10</t>
  </si>
  <si>
    <t>PREFA Kalhotková příponka pevná, nerez</t>
  </si>
  <si>
    <t>PREFA Kalhotková příponka posuvná, nerez</t>
  </si>
  <si>
    <t>PREFA Posuvná příponka úhlová do 12 m, nerez</t>
  </si>
  <si>
    <t>PREFA Pevná příponka úhlová, nerez</t>
  </si>
  <si>
    <t>PREFA Trhací nýt</t>
  </si>
  <si>
    <t>PREFA Hranatý svod</t>
  </si>
  <si>
    <t>PREFA Hranatý svod s čistícím otvorem</t>
  </si>
  <si>
    <t>PREFA Hranaté zaústění do kruhového odpadu</t>
  </si>
  <si>
    <t>PREFA Hranatý fasádní kotlík se zaústěním</t>
  </si>
  <si>
    <t>PREFA Sběrný kotlík hranatý s hranatým vyústěním 220/220/330</t>
  </si>
  <si>
    <t>PREFA Koleno hranatého svodu 72° krátké</t>
  </si>
  <si>
    <t>PREFA Koleno hranatého svodu 72° dlouhé</t>
  </si>
  <si>
    <t>PREFA Dešťová klapka</t>
  </si>
  <si>
    <t>PREFA Čelo žlabu</t>
  </si>
  <si>
    <t>PREFA Žlabový hák</t>
  </si>
  <si>
    <t>PREFA Žlabový hák pro hranaté žlaby</t>
  </si>
  <si>
    <t>PREFA Žlabový hák zpevněný</t>
  </si>
  <si>
    <t>PREFA Horský hák přetočený</t>
  </si>
  <si>
    <t>PREFA Hřebíky pro žlabové háky 5,0 x 80</t>
  </si>
  <si>
    <t>PREFA Kulatý kotlík</t>
  </si>
  <si>
    <t>PREFA Roh žlabu vnější 90°</t>
  </si>
  <si>
    <t>PREFA Roh žlabu vnitřní 90°</t>
  </si>
  <si>
    <t>PREFA Trubka sněhové zábrany včetně spojky 28 x 2 x 3.000 mm</t>
  </si>
  <si>
    <t>PREFA Koleno 40°</t>
  </si>
  <si>
    <t>PREFA Koleno 72°</t>
  </si>
  <si>
    <t>PREFA Koleno 85°</t>
  </si>
  <si>
    <t>PREFA Odbočka kruhového svodu</t>
  </si>
  <si>
    <t>PREFA Odbočka kruhového svodu kónická</t>
  </si>
  <si>
    <t>PREFA Přechodka na zaústění svodu</t>
  </si>
  <si>
    <t>PREFA Objímka se závitem M10 bez trnu</t>
  </si>
  <si>
    <t>PREFA Trn k objímce</t>
  </si>
  <si>
    <t>PREFA Hmoždinka pro prostup tepelnou izolací</t>
  </si>
  <si>
    <t>PREFA Držák hmoždinky pro zateplovací systémy</t>
  </si>
  <si>
    <t>PREFA Hrdlový spoj</t>
  </si>
  <si>
    <t>PREFA Svěrka trubky sněhové zábrany dvojitá</t>
  </si>
  <si>
    <t>PREFA Svěrka trubky sněhové zábrany jednoduchá</t>
  </si>
  <si>
    <t>PREFA Svěrka trubky sněhové zábrany pro šikmý falc</t>
  </si>
  <si>
    <t>PREFA Nástřešní žlab s ochrannou folií</t>
  </si>
  <si>
    <t>PREFA Čelo nástřešního žlabu</t>
  </si>
  <si>
    <t>PREFA Žlabový hák pro nástřešní žlab</t>
  </si>
  <si>
    <t>PREFA Podkladní pás pro falcované šablony, šindele a panely FX.12 a R.16 (1.800 x 158 x 1.00 mm)</t>
  </si>
  <si>
    <t>PREFA Sněhý hák pro panely R.16 und FX.12</t>
  </si>
  <si>
    <t>PREFA Sněhový hák pro falcované šablony 29x29</t>
  </si>
  <si>
    <t>PREFA Sněhový hák  44x44</t>
  </si>
  <si>
    <t>PREFA Sněhový hák pro panely R.16 und FX.12</t>
  </si>
  <si>
    <t>PREFA Šikmé vyústění žlabu</t>
  </si>
  <si>
    <t>PREFA Soklové koleno, přesah 60mm</t>
  </si>
  <si>
    <t>PREFA Fasádní kotlík se zaústěním</t>
  </si>
  <si>
    <t>PREFA Zaústění svodu do kanalizace s otvorem na čištění</t>
  </si>
  <si>
    <t>PREFA Startovací šablona (1,48 ks./bm, 40 ks./balení)</t>
  </si>
  <si>
    <t>PREFA Startovací šablona (2,2 ks./bm, 100 ks./balení)</t>
  </si>
  <si>
    <t>PREFA Žlabový hák římsový</t>
  </si>
  <si>
    <t>PREFA Žlabový hák římsový pro hranaté žlaby</t>
  </si>
  <si>
    <t>PREFA Vyústění nástřešního žlabu</t>
  </si>
  <si>
    <t>PREFA Teleskop-koleno od 700 do 1.000 mm DN 100</t>
  </si>
  <si>
    <t>PREFA Ochranná mřížka proti ptákům 125 x 2.000 x 0,7 mm</t>
  </si>
  <si>
    <t>PREFA Sběrný kotlík 220/220/330</t>
  </si>
  <si>
    <t>PREFA Sběrač dešťové vody</t>
  </si>
  <si>
    <t>PREFALZ barevný plech 0,7x1.000 mm</t>
  </si>
  <si>
    <t>PREFALZ barevný plech 0,7x1.000 mm (na klempířskou výrobu)</t>
  </si>
  <si>
    <t>PREFALZ barevný plech 0,7x500 mm</t>
  </si>
  <si>
    <t>PREFALZ barevný plech 0,7x650 mm</t>
  </si>
  <si>
    <t>Hranatý svod</t>
  </si>
  <si>
    <t>Rozměr žlabu</t>
  </si>
  <si>
    <t>Zvolit délku žlabu</t>
  </si>
  <si>
    <t>Zvolit délku svodu</t>
  </si>
  <si>
    <t>Montážní deska na stěnu</t>
  </si>
  <si>
    <t>PREFA patentovaná příchytka pro falcované šablony 29x29</t>
  </si>
  <si>
    <t>PREFA Vroubkované hřebíky, nerez</t>
  </si>
  <si>
    <t>PREFA Čelo žlabu pro hranaté žlaby 500 levé</t>
  </si>
  <si>
    <t>PREFA Čelo žlabu pro hranaté žlaby 500 pravé</t>
  </si>
  <si>
    <t>Article no.</t>
  </si>
  <si>
    <t>Articolo no.</t>
  </si>
  <si>
    <t>Článek č.</t>
  </si>
  <si>
    <t>Artykuł nr</t>
  </si>
  <si>
    <t>Cikkszám</t>
  </si>
  <si>
    <t>Článok č.</t>
  </si>
  <si>
    <t>Člen št.</t>
  </si>
  <si>
    <t>PREFA Grondalina standard liscia 230 x 2.000 x 0,7 mm</t>
  </si>
  <si>
    <t>Lattina 0,75l</t>
  </si>
  <si>
    <t>1500mm</t>
  </si>
  <si>
    <t>1: Selezionare il prodotto desiderato facendo clic sulla scheda</t>
  </si>
  <si>
    <t>ø100</t>
  </si>
  <si>
    <t>ø100 x 700-1.100 mm</t>
  </si>
  <si>
    <t>ø100 x 1.450 mm</t>
  </si>
  <si>
    <t>ø 100 x 50-75 mm</t>
  </si>
  <si>
    <t>ø120</t>
  </si>
  <si>
    <t>ø150</t>
  </si>
  <si>
    <t>lunghezza 195 mm</t>
  </si>
  <si>
    <t>2: Tutti i campi evidenziati in grigio possono essere riempiti oppure è possibile selezionare una voce da un elenco predefinito</t>
  </si>
  <si>
    <t>290 ml sono sufficienti per ca. 4 m lineari</t>
  </si>
  <si>
    <t>3: Ogni pulsante delle opzioni può essere selezionato</t>
  </si>
  <si>
    <t>4: Se viene selezionata la verniciatura a polvere, viene visualizzato un ulteriore campo nel quale inserire il colore richiesto</t>
  </si>
  <si>
    <t>50 ml Lattina con pennello</t>
  </si>
  <si>
    <t>60 mm disassamento</t>
  </si>
  <si>
    <t>ø60</t>
  </si>
  <si>
    <t>ø60 x 3.000 mm</t>
  </si>
  <si>
    <t>ø80</t>
  </si>
  <si>
    <t>Diametro pluviale</t>
  </si>
  <si>
    <t>Istruzioni per l'uso</t>
  </si>
  <si>
    <t>SMALTIMENTO ACQUE</t>
  </si>
  <si>
    <t>FX.12</t>
  </si>
  <si>
    <t>TEGOLA R.16</t>
  </si>
  <si>
    <t>SCAGLIA 29</t>
  </si>
  <si>
    <t>SCAGLIA 44</t>
  </si>
  <si>
    <t>SCANDOLA</t>
  </si>
  <si>
    <t>Misura non disponibile</t>
  </si>
  <si>
    <t>Selezionare la misura</t>
  </si>
  <si>
    <t>corto</t>
  </si>
  <si>
    <t>lungo</t>
  </si>
  <si>
    <t>Selezionare la lunghezza</t>
  </si>
  <si>
    <t>normale</t>
  </si>
  <si>
    <t>Ø100 mm adatto a tubo HT/KG NW 110 mm</t>
  </si>
  <si>
    <t>Ø115 mm adatto a tubo HT/KG NW 125 mm</t>
  </si>
  <si>
    <t>PREFA Calotta per chiodo collare</t>
  </si>
  <si>
    <t>PREFA Catena 5 mm</t>
  </si>
  <si>
    <t>PREFA Pluviale 1,6 mm DN 100</t>
  </si>
  <si>
    <t>PREFA Pluviale DN 60 saldato</t>
  </si>
  <si>
    <t>PREFA Pluviali</t>
  </si>
  <si>
    <t>PREFA Canali di gronda in alluminio con pellicola protettiva lato esterno</t>
  </si>
  <si>
    <t>PREFA Canale quadro di gronda in alluminio</t>
  </si>
  <si>
    <t>PREFA Bacchette per la brasatura dell'alluminio</t>
  </si>
  <si>
    <t>PREFA Morsetto per il collegamento al parafulmine</t>
  </si>
  <si>
    <t>PREFA Tirante</t>
  </si>
  <si>
    <t>PREFA Passo uomo</t>
  </si>
  <si>
    <t>PREFA Passo uomo con telaio in legno
(misura interna 600 x 600 mm)</t>
  </si>
  <si>
    <t>PREFA Passo uomo
(misura interna 600 x 600 mm)</t>
  </si>
  <si>
    <t>PREFA Tegola R.16 (700 x 420 mm)</t>
  </si>
  <si>
    <t>PREFA Scaglia 29 (29x29 mm, 120 pz./cf.)</t>
  </si>
  <si>
    <t>PREFA Scaglia 44 (440 x 440 mm, 42 pz./cf.)</t>
  </si>
  <si>
    <t>PREFA SISTEMA SMALTIMENTO ACQUE</t>
  </si>
  <si>
    <t>PREFA Scandola (420 x 240 mm)</t>
  </si>
  <si>
    <t>PREFA Elemento di dilatazione</t>
  </si>
  <si>
    <t>PREFA EAP anticaduta conforme EN 795 classe A (per larghezza lastre fino a 650mm)</t>
  </si>
  <si>
    <t>PREFA Raccordo angolare per Tubo PREFA</t>
  </si>
  <si>
    <t>PREFA Conversa per Tegola R.16 e FX.12, liscia, Ø 80 - 125 mm</t>
  </si>
  <si>
    <t>PREFA Conversa per Scaglia 29, liscia, Ø 80 - 125 mm</t>
  </si>
  <si>
    <t>PREFA Conversa per Scaglia 44, liscia, Ø 80 - 125 mm</t>
  </si>
  <si>
    <t>PREFA Conversa per Scandola, liscia, Ø 80 - 125 mm</t>
  </si>
  <si>
    <t>PREFA Grondalina 230 x 2.000 x 0.7 mm</t>
  </si>
  <si>
    <t>PREFA Grondalina liscia</t>
  </si>
  <si>
    <t>PREFA Rompighiaccio</t>
  </si>
  <si>
    <t>PREFA Scaglia 44 finale (1,48 pz./m, 40 pz./cf.)</t>
  </si>
  <si>
    <t>PREFA Scaglia 29 finale (2,2 pz./m, 100 pz./cf.)</t>
  </si>
  <si>
    <t>PREFA Torretta aerazione Ø 100</t>
  </si>
  <si>
    <t>PREFA Torretta aerazione Ø 120</t>
  </si>
  <si>
    <t>PREFA Bocchetta aerazione goffrata per Scandola 420 x 240 mm
Sezione di ventilazione ca. 30 cm²</t>
  </si>
  <si>
    <t>PREFA Bocchetta aerazione da rivettare, sezione di ventilazione ca. 30 cm²</t>
  </si>
  <si>
    <t>PREFA FX.12 piccolo (700 x 420 mm)</t>
  </si>
  <si>
    <t>PREFA FX.12 grande (1.400 x 420 mm)</t>
  </si>
  <si>
    <t>PREFA Guarnizione in gomma per raccordi al tubo HT/KG NW 110 mm</t>
  </si>
  <si>
    <t>PREFA Staffa di fissaggio</t>
  </si>
  <si>
    <t>PREFA Elemento di dilatazione per canale con ricciolo e scossalina</t>
  </si>
  <si>
    <t>PREFA Elemento di dilatazione per canale senza ricciolo e scossalina</t>
  </si>
  <si>
    <t>PREFA Telaio in legno
(misura interna 600 x 600 mm)</t>
  </si>
  <si>
    <t>PREFA Elemento di dilatazione per canale quadro con ricciolo e scossalina</t>
  </si>
  <si>
    <t>Elemento di dilatazione per canale quadro senza ricciolo e scossalina</t>
  </si>
  <si>
    <t>PREFA Testata per canale quadro</t>
  </si>
  <si>
    <t>PREFA Bocchetta di scarico per canale quadro</t>
  </si>
  <si>
    <t>PREFA Angolo esterno 90° per canale quadro</t>
  </si>
  <si>
    <t>PREFA Angolo interno 90° per canale quadro</t>
  </si>
  <si>
    <t>PREFA Conversa per torretta aerazione, da incollare, per coperture aggraffate Ø 120-170 mm</t>
  </si>
  <si>
    <t>PREFA Conversa per torretta aerazione, da incollare, per coperture aggraffate Ø 170-210 mm</t>
  </si>
  <si>
    <t>PREFA Conversa per torretta aerazione, da incollare, per coperture aggraffate Ø 50-65 mm</t>
  </si>
  <si>
    <t>PREFA Conversa per torretta aerazione, da incollare, per coperture aggraffate Ø 80-125 mm</t>
  </si>
  <si>
    <t>PREFA Testata sferica</t>
  </si>
  <si>
    <t>PREFA Cipolla fermafoglie (disponibile solo in marrone)</t>
  </si>
  <si>
    <t>PREFA Chiodo filettato M10</t>
  </si>
  <si>
    <t>PREFA Graffetta a V, fissa, in acciaio inox</t>
  </si>
  <si>
    <t>PREFA Graffetta a V, scorrevole, in acciaio inox</t>
  </si>
  <si>
    <t>PREFA Graffetta scorrevole, in acciaio inox, lunghezza lastre fino a 12 m</t>
  </si>
  <si>
    <t>PREFA Graffetta fissa in acciaio inox</t>
  </si>
  <si>
    <t>PREFA Scandola XL per raccordi (840 x 240 mm)</t>
  </si>
  <si>
    <t>PREFA Rivetti</t>
  </si>
  <si>
    <t>PREFA Pluviale quadro</t>
  </si>
  <si>
    <t>PREFA Pluviale quadro con ispezione</t>
  </si>
  <si>
    <t>PREFA Riduzione pluviale quadro-scarico HT/KG</t>
  </si>
  <si>
    <t>PREFA Bocchettone da incasso per pluviale quadro</t>
  </si>
  <si>
    <t>PREFA Cassetta di raccolta per pluviale quadro 220/220/330h</t>
  </si>
  <si>
    <t>PREFA Gomito per pluviale quadro, 72°, corto</t>
  </si>
  <si>
    <t>PREFA Gomito per pluviale quadro, 72° lungo</t>
  </si>
  <si>
    <t>PREFA Deviatore con ispezione</t>
  </si>
  <si>
    <t>PREFA Testata per canale di gronda</t>
  </si>
  <si>
    <t>PREFA Cicogna per canali di gronda</t>
  </si>
  <si>
    <t>PREFA Portacanale per canale quadro</t>
  </si>
  <si>
    <t>PREFA Cicogna con ferro in costa per canale di gronda</t>
  </si>
  <si>
    <t>PREFA Portacanale svizzero</t>
  </si>
  <si>
    <t>PREFA Chiodi per staffe portacanale 5,0 x 80</t>
  </si>
  <si>
    <t>PREFA Bocchetta svizzera</t>
  </si>
  <si>
    <t>PREFA Angolo esterno 90° per canale di gronda</t>
  </si>
  <si>
    <t>PREFA Angolo interno 90° per canale di gronda</t>
  </si>
  <si>
    <t>PREFA Tubo 28 x 2 x 3.000 mm incluso giunto da 100mm</t>
  </si>
  <si>
    <t>PREFA Gomito 40°</t>
  </si>
  <si>
    <t>PREFA Gomito 72°</t>
  </si>
  <si>
    <t>PREFA Gomito 85°</t>
  </si>
  <si>
    <t>PREFA Braga</t>
  </si>
  <si>
    <t>PREFA Braga con innesto conico</t>
  </si>
  <si>
    <t>PREFA Collare per terminali</t>
  </si>
  <si>
    <t>PREFA Collare con filetto M10 senza chiodo</t>
  </si>
  <si>
    <t>PREFA Chiodo per collare</t>
  </si>
  <si>
    <t>PREFA Tassello per taglio termico con chiodo</t>
  </si>
  <si>
    <t>PREFA Piastra per taglio termico</t>
  </si>
  <si>
    <t>PREFA Bicchiere per pluviale</t>
  </si>
  <si>
    <t>PREFA Piastra fermaneve a doppio tubo</t>
  </si>
  <si>
    <t>PREFA Piastra fermaneve a tubo singolo</t>
  </si>
  <si>
    <t>PREFA Piastra fermaneve con asola per aggraffatura inclinata</t>
  </si>
  <si>
    <t>PREFA Grondaia cornicione con pellicola protettiva esterna</t>
  </si>
  <si>
    <t>PREFA Testata per grondaia cornicione</t>
  </si>
  <si>
    <t>PREFA Staffa per grondaia cornicione</t>
  </si>
  <si>
    <t>PREFA Grondalina di partenza (1.800 x 158 x 1.00 mm)_IT</t>
  </si>
  <si>
    <t>PREFA Naso fermaneve per Tegola R.16 e FX.12</t>
  </si>
  <si>
    <t>PREFA Naso fermaneve per Scaglia 29</t>
  </si>
  <si>
    <t>PREFA Naso fermaneve per Scaglia 44</t>
  </si>
  <si>
    <t>PREFA Naso fermaneve per Scandola</t>
  </si>
  <si>
    <t>PREFA Bocchetta di scarico con innesto inclinato</t>
  </si>
  <si>
    <t>PREFA Spostamento, disassamento 60mm</t>
  </si>
  <si>
    <t>PREFA Bocchettone da incasso troncoconico</t>
  </si>
  <si>
    <t>PREFA Terminale con apertura di ispezione</t>
  </si>
  <si>
    <t>PREFA Copribicchiere per terminale</t>
  </si>
  <si>
    <t>PREFA Scaglia 44 di partenza (1,48 pz./m, 40 pz./cf.)</t>
  </si>
  <si>
    <t>PREFA Scaglia 29 di partenza (2,2 pz./m, 100 pz./cf.)</t>
  </si>
  <si>
    <t>PREFA Staffa portacanale per montaggio su frontalino</t>
  </si>
  <si>
    <t>PREFA Staffa portacanale quadro per fissaggio su frontalino</t>
  </si>
  <si>
    <t>PREFA Scarico per grondaia cornicione</t>
  </si>
  <si>
    <t>PREFA Voluta allungabile da 700 a 1.000 mm DN 100</t>
  </si>
  <si>
    <t>PREFA Lamiera forata anti volatile 125 x 2.000 x 0,7 mm</t>
  </si>
  <si>
    <t>PREFA Cassetta di raccolta 220/220/330</t>
  </si>
  <si>
    <t>PREFA Deviatore</t>
  </si>
  <si>
    <t>PREFALZ Nastro in alluminio preverniciato 0,7x1.000 mm</t>
  </si>
  <si>
    <t>PREFALZ Nastro in alluminio preverniciato 0,7x1.000 mm (per esecuzione converse e lattonerie)</t>
  </si>
  <si>
    <t>PREFALZ Nastro in alluminio preverniciato 0,7x500 mm</t>
  </si>
  <si>
    <t>PREFALZ Nastro in allluminio preverniciato 0,7x650 mm</t>
  </si>
  <si>
    <t>PLUVIALE QUADRO</t>
  </si>
  <si>
    <t>Sviluppo canale</t>
  </si>
  <si>
    <t>Selezionare lunghezza canale</t>
  </si>
  <si>
    <t>Selezionare lunghezza pluviale</t>
  </si>
  <si>
    <t>Piastra per il montaggio a parete</t>
  </si>
  <si>
    <t>PREFA Graffetta per Scaglia 29</t>
  </si>
  <si>
    <t>PREFA Chiodo zigrinato in acciaio inox</t>
  </si>
  <si>
    <t>PREFA Testata per canale quadro sv. 500 - sinistra</t>
  </si>
  <si>
    <t>PREFA Testata per canale quadro sv. 500 - destra</t>
  </si>
  <si>
    <t>PREFA Dachplatte R.16 (700 × 420 mm)</t>
  </si>
  <si>
    <t>PREFA R.16 roof tile (700 × 420 mm)</t>
  </si>
  <si>
    <t>PREFA Střešní panel R.16 (700 x 420 mm)</t>
  </si>
  <si>
    <t>PREFA R.16 tetőfedő elem (700x420mm)</t>
  </si>
  <si>
    <t>PREFA strešná škridla R.16 (700 x 420 mm)</t>
  </si>
  <si>
    <t>Prefa strešna plošča R.16 (700 x 420 mm)</t>
  </si>
  <si>
    <t>R.16 (700 × 420 mm)</t>
  </si>
  <si>
    <t>PREFA Passschindel für Anschlüsse (840 × 240 mm)</t>
  </si>
  <si>
    <t>PREFA fitting shingle for connections (840 × 240 mm)</t>
  </si>
  <si>
    <t>bardeau de raccord (840 × 240 mm)</t>
  </si>
  <si>
    <t>PREFA Falcovaný šindel pro napojení (840 x 240 mm)</t>
  </si>
  <si>
    <t>PREFA illesztőzsindely csatlakozások kialakításához (840 x 240 mm)</t>
  </si>
  <si>
    <t>PREFA pásový šindeľ pre spoje (840 x 240 mm)</t>
  </si>
  <si>
    <t>PREFA skodla za zaključke (840 x 240 mm)</t>
  </si>
  <si>
    <t>Opcjonalnie</t>
  </si>
  <si>
    <t>PREFA Gwoździe, galwanizowane</t>
  </si>
  <si>
    <t>Gwoździe do gwoździarki Bull Tack Power.</t>
  </si>
  <si>
    <t xml:space="preserve">PREFA Listwa wentylacyjna </t>
  </si>
  <si>
    <t>PREFALZ Taśma maskująca</t>
  </si>
  <si>
    <t>PREFA łącznik ław kominiarskich ze stali ocynkowanej</t>
  </si>
  <si>
    <t>PREFA Pokrywa wywietrzników (Ø 100), gładka</t>
  </si>
  <si>
    <t>PREFA Maskownica wkręt</t>
  </si>
  <si>
    <t>PREFA blacha perforowana (Ø 5 mm) około 24 kg/rolka (0.7 × 1,000 mm)</t>
  </si>
  <si>
    <t>Prefalz listwa 1.0 × 1,000 mm (do wykończeni krawędziowych)</t>
  </si>
  <si>
    <t>Prefalz listwa 1.0 × 1,000 mm (do wykończeń krawędziowych)</t>
  </si>
  <si>
    <t>Puszka 0,75 l</t>
  </si>
  <si>
    <t xml:space="preserve">1: Wybierz produkt klikając na zakładkę </t>
  </si>
  <si>
    <t>195 mm długi</t>
  </si>
  <si>
    <t>2: Na polach z szarym tłem należy wpisać wartość lub wybrać z rozwijanej listy.</t>
  </si>
  <si>
    <t>290 ml wystarcza na około 4 m</t>
  </si>
  <si>
    <t>3: Można wybrać wszystkie opcje.</t>
  </si>
  <si>
    <t>4: Jeśli jako kolor wybrano powłokę proszkową, zostanie wyświetlone dodatkowe pole wprowadzania, aby wybrać kolor powłoki.</t>
  </si>
  <si>
    <t>50 ml puszka z pędzlem.</t>
  </si>
  <si>
    <t>60 mm ochrony</t>
  </si>
  <si>
    <t>Średnica rury spustowej:</t>
  </si>
  <si>
    <t>Instrukcja obsługi</t>
  </si>
  <si>
    <t>brązowy</t>
  </si>
  <si>
    <t>ODWODNIENIE DAHU</t>
  </si>
  <si>
    <t>PANEL DACHOWY FX.12</t>
  </si>
  <si>
    <t>DACHÓWKA R.16</t>
  </si>
  <si>
    <t>DACHÓWKA ROMB 29 × 29</t>
  </si>
  <si>
    <t>DACHÓWKA ROMB 44 × 44</t>
  </si>
  <si>
    <t>DACHÓWKA ŁUPKOWA</t>
  </si>
  <si>
    <t>Wymiar jest nie dostępny</t>
  </si>
  <si>
    <t>Wybierz średnicę:</t>
  </si>
  <si>
    <t>krótki</t>
  </si>
  <si>
    <t xml:space="preserve">długi </t>
  </si>
  <si>
    <t>Wybierz długość:</t>
  </si>
  <si>
    <t>normalny</t>
  </si>
  <si>
    <t>⌀ 100 mm do rury wywiewnej kanalizacji  (średnica nominalna  110 mm)</t>
  </si>
  <si>
    <t>⌀ 115 mm do rury wywiewnej kanalizacji  (średnica nominalna  125 mm)</t>
  </si>
  <si>
    <t>PREFA nasadka ochronna na bolce wspornika</t>
  </si>
  <si>
    <t>PREFA Łańcuch spustowy 5 mm</t>
  </si>
  <si>
    <t>PREFA rura spustowa 1,6 mm DN 100</t>
  </si>
  <si>
    <t>PREFA rura spustowa DN 60 spawana</t>
  </si>
  <si>
    <t>PREFA rura spustowe</t>
  </si>
  <si>
    <t>PREFA rynna z folią ochronną na zewnątrz</t>
  </si>
  <si>
    <t>PREFA Rynna kwadratowa ?</t>
  </si>
  <si>
    <t>PREFA druty do spawania</t>
  </si>
  <si>
    <t>PREFA zacisk ochrony odgromowej</t>
  </si>
  <si>
    <t>PREFA wieszak zbrojeniowy</t>
  </si>
  <si>
    <t>PREFA pokrywa wyłazu dachowego</t>
  </si>
  <si>
    <t>PREFA pokrywa wyłazu dachowego z drewnianą ramą (wymiary wewnętrzne: 600 x 600 mm)</t>
  </si>
  <si>
    <t>PREFA pokrywa wyłazu dachu (wymiary wewnętrzne: 600 x 600 mm)</t>
  </si>
  <si>
    <t>PREFA Dachówka romb (29 × 29 mm, 120 szt./opak.)</t>
  </si>
  <si>
    <t>PREFA Dachówka romb (440 × 440 mm, 42 szt./opak.)</t>
  </si>
  <si>
    <t>PREFA SYSTEM RYNNOWY</t>
  </si>
  <si>
    <t>PREFA Dachówka łupkowa(420 × 240 mm)</t>
  </si>
  <si>
    <t>PREFA Dylatacja rynny</t>
  </si>
  <si>
    <t>PREFA Punkt mocowań lin alpinistycznych (EAP) zgodny z normą EN 795, Klasa A (dla szerokości 650mm)</t>
  </si>
  <si>
    <t>PREFA Narożne złącze PREFA Rury</t>
  </si>
  <si>
    <t>PREFA Element wentylacyjny dla Dachówka R.16 i FX.12, gładki, ⌀ 80–125 mm</t>
  </si>
  <si>
    <t>PREFA Element wentylacyjny dla Dachówka romb 29 × 29, gładki, ⌀ 80–125 mm</t>
  </si>
  <si>
    <t>PREFA Element wentylacyjny dla Dachówka romb 44 × 44, gładki, ⌀ 80–125 mm</t>
  </si>
  <si>
    <t>PREFA Element wentylacyjny dla Dachówka łupkowa</t>
  </si>
  <si>
    <t>PREFA Okap? 230 × 2.000 × 0,7 mm</t>
  </si>
  <si>
    <t>PREFA Okap ??gładki</t>
  </si>
  <si>
    <t>PREFA  Łamacz lodu</t>
  </si>
  <si>
    <t>PREFA Dachówka końcowa(1,48 szt./mb, 40 szt./opak.)</t>
  </si>
  <si>
    <t>PREFA Dachówka końcowa(2,2 szt./mb, 100 szt./opak.)</t>
  </si>
  <si>
    <t>PREFA Rura wentylacyjna ⌀ 100</t>
  </si>
  <si>
    <t>PREFA Rura wentylacyjna ⌀ 120</t>
  </si>
  <si>
    <t>PREFA żel uszczelniający</t>
  </si>
  <si>
    <t>PREFA Wywietrznik dla  Dachówka łupkowa 420 x 240 mm powierzchnia wentylacji ok. 30 cm²</t>
  </si>
  <si>
    <t>PREFA Pokrywa wywietrznika o pow. 30 cm²</t>
  </si>
  <si>
    <t>PREFA FX.12 Panel dachowy mały (700 × 420 mm)</t>
  </si>
  <si>
    <t>PREFA FX.12 Panel dachowy duży (1.400 × 420 mm)</t>
  </si>
  <si>
    <t>PREFA do rury wywiewnej kanalizacji  (średnica nominalna  110 mm) ????</t>
  </si>
  <si>
    <t>PREFA łącznik</t>
  </si>
  <si>
    <t xml:space="preserve">PREFA Rynna wisząca z połączeniem i kolanem z przykryciem </t>
  </si>
  <si>
    <t>PREFA Rynna wisząca z połączeniem bez kolana z przykryciem</t>
  </si>
  <si>
    <t>PREFA rama drewniana (wymiary wew. 600 x 600 mm)</t>
  </si>
  <si>
    <t>PREFA Farba na bazie wody</t>
  </si>
  <si>
    <t>PREFA Dylatacja rynny prostokątnej z wałkiem i przysłoną</t>
  </si>
  <si>
    <t>PREFA Denko rynny</t>
  </si>
  <si>
    <t>PREFA Wylot rynny prostokątnej</t>
  </si>
  <si>
    <t>PREFA Narożnik rynny prostokątnej zew. 90°</t>
  </si>
  <si>
    <t>PREFA Narożnik rynny prostokątnej wew. 90°</t>
  </si>
  <si>
    <t>PREFA Uchwyt przeklejany do dachów na rąbek stojący ⌀ 120–170 mm</t>
  </si>
  <si>
    <t>PREFA Uchwyt przeklejany do dachów na rąbek stojący ⌀ 170–210 mm</t>
  </si>
  <si>
    <t>PREFA Uchwyt przeklejany do dachów na rąbek stojący ⌀ 50–65 mm</t>
  </si>
  <si>
    <t>PREFA Uchwyt przeklejany do dachów na rąbek stojący ⌀ 80–125 mm</t>
  </si>
  <si>
    <t>PREFA Denko rynny kulowe</t>
  </si>
  <si>
    <t>PREFA Sito (tylko brązowe)</t>
  </si>
  <si>
    <t>PREFA Wspornik ławy kominiarskiej do dachów na rąbek podwójny</t>
  </si>
  <si>
    <t>PREFA M10 Trzpień gwintowany</t>
  </si>
  <si>
    <t>PREFA NIRO Zaczep spodniowy ze stali nierdzewnej</t>
  </si>
  <si>
    <t>PREFA NIRO Zaczep spodniowy przesuwny ze stali nierdzewnej</t>
  </si>
  <si>
    <t>PREFA NIRO Zaczep kątowy przesuwny ze stali nierdzewnej do 12 m</t>
  </si>
  <si>
    <t>PREFA NIRO Zaczep kątowy stały ze stali nierdzewnej</t>
  </si>
  <si>
    <t>PREFA Nit patentowy</t>
  </si>
  <si>
    <t>PREFA Kwadratowa rura spustowa</t>
  </si>
  <si>
    <t>PREFA Wylot rynny do rury kwadratowej</t>
  </si>
  <si>
    <t>PREFA Rura kwadratowa z otworem rewizyjnym</t>
  </si>
  <si>
    <t>PREFA Mufa do rury kwadratowej</t>
  </si>
  <si>
    <t>PREFA Wylot zlewiskowy do rury kwadratowej</t>
  </si>
  <si>
    <t>PREFA Kosz zlewiskowy do rury kwadratowej 220/220/330</t>
  </si>
  <si>
    <t>PREFA Kolano 72° do rury kwadratowej krótkie</t>
  </si>
  <si>
    <t>PREFA Kolano 72° do rury kwadratowej długie</t>
  </si>
  <si>
    <t>PREFA Rewizja rury spustowej</t>
  </si>
  <si>
    <t>PREFA Hak rynnowy połaciowy</t>
  </si>
  <si>
    <t>PREFA Hak rynnowy połaciowy do rynny kwadratowej</t>
  </si>
  <si>
    <t>PREFA Hak wzmocniony do krokwiowy</t>
  </si>
  <si>
    <t>PREFA Hak rynnowy wzmocniony nakrokwiowy</t>
  </si>
  <si>
    <t>PREFA Gwóźdź do haków rynnowych 5,0 × 80</t>
  </si>
  <si>
    <t>PREFA Wylot rynny</t>
  </si>
  <si>
    <t>PREFA Narożnik 90° zew.</t>
  </si>
  <si>
    <t>PREFA Narożnik 90° wew.</t>
  </si>
  <si>
    <t>PREFA Rura bariery śniegowej 28 × 2 × 3.000 mm, z mufą</t>
  </si>
  <si>
    <t>PREFA Kolano 40°</t>
  </si>
  <si>
    <t>PREFA Kolano 72°</t>
  </si>
  <si>
    <t>PREFA Kolano 85°</t>
  </si>
  <si>
    <t>PREFA Trójnik</t>
  </si>
  <si>
    <t>PREFA Trójnik stożkowy</t>
  </si>
  <si>
    <t>PREFA Obejma do rur stojakowych</t>
  </si>
  <si>
    <t>PREFA Obejma rury z gwintem M10 bez trzpienia</t>
  </si>
  <si>
    <t>PREFA Trzpień wbijany</t>
  </si>
  <si>
    <t>PREFA Element mocujący obejmy dla pełnej izolacji cieplnej z trzpieniem</t>
  </si>
  <si>
    <t>PREFA Element mocujący obejmy dla pełnej izolacji cieplnej</t>
  </si>
  <si>
    <t>PREFA Złącze rury</t>
  </si>
  <si>
    <t>PREFA Mocowanie podwójne do bariery śniegowej</t>
  </si>
  <si>
    <t>PREFA Mocowanie pojedyncze do bariery śniegowej</t>
  </si>
  <si>
    <t>PREFA Mocowanie pojedyncze z otworem podłużnym</t>
  </si>
  <si>
    <t>PREFA Rynna leżąca z folią ochronną na zewnątrz</t>
  </si>
  <si>
    <t>PREFA Końcówka do rynny leżącej</t>
  </si>
  <si>
    <t>PREFA Hak do rynny leżącej</t>
  </si>
  <si>
    <t>PREFA Pas okapowy dla dachówek łupkowych rombów (1.800 × 158 × 1,00 mm)</t>
  </si>
  <si>
    <t>PREFA Bariera śniegowa Dachówka R.16 i FX.12</t>
  </si>
  <si>
    <t>PREFA Bariera śniegowa Dachówka romb 29 × 29</t>
  </si>
  <si>
    <t>PREFA Bariera śniegowa Dachówka romb 44 × 44</t>
  </si>
  <si>
    <t>PREFA Bariera śniegowa Dachówka łupkowa</t>
  </si>
  <si>
    <t>PREFA Wylot rynny boczny</t>
  </si>
  <si>
    <t>PREFA Kolano podwójne 60 mm</t>
  </si>
  <si>
    <t>PREFA Wylot zlewiskowy</t>
  </si>
  <si>
    <t>PREFA Rura stojakowa z otworem rewizyjnym</t>
  </si>
  <si>
    <t>PREFA Rozeta</t>
  </si>
  <si>
    <t>PREFA Dachówka początkowa (1,48 szt./mb, 40 szt./opak.)</t>
  </si>
  <si>
    <t>PREFA Dachówka początkowa (2,2 szt./mb, 100 szt./opak.)</t>
  </si>
  <si>
    <t>PREFA Hak rynnowy doczołowy</t>
  </si>
  <si>
    <t>PREFA Wylot</t>
  </si>
  <si>
    <t>PREFA Teleskop 700 - 1.000 mm, DN 100</t>
  </si>
  <si>
    <t>PREFA Siatka ochronna przeciw ptakom 125 × 2.000 × 0,7 mm</t>
  </si>
  <si>
    <t>PREFA Kosz zlewiskowy 220/220/330</t>
  </si>
  <si>
    <t>PREFA Zbiornik na wodę</t>
  </si>
  <si>
    <t>Prefalz aluminiowa blacha powlekana 0,7 × 1.000 mm</t>
  </si>
  <si>
    <t>Prefalz aluminiowa blacha powlekana 0,7 × 1.000 mm (für Zusatzverblechungen)</t>
  </si>
  <si>
    <t>Prefalz aluminiowa blacha powlekana 0,7 × 500 mm</t>
  </si>
  <si>
    <t>Prefalz aluminiowa blacha powlekana 0,7 × 650 mm</t>
  </si>
  <si>
    <t>RURY KWADRATOWE</t>
  </si>
  <si>
    <t>Rozmiar rynny:</t>
  </si>
  <si>
    <t>Wybierz długość rynny:</t>
  </si>
  <si>
    <t>Wybierz długość rury:</t>
  </si>
  <si>
    <t>Płyta montażowa do elewacji</t>
  </si>
  <si>
    <t>PREFA Zaczep do dachówki romb 29 × 29</t>
  </si>
  <si>
    <t>PREFA NIRO Gwóźdź nierdzewny</t>
  </si>
  <si>
    <t>PREFA Denko rynny prostokątnej 500 lewe</t>
  </si>
  <si>
    <t>PREFA Denko rynny prostokątnej 500 prawe</t>
  </si>
  <si>
    <t xml:space="preserve">szara patyna </t>
  </si>
  <si>
    <t>ciemnoszary</t>
  </si>
  <si>
    <t>PREFA Dachówka R.16 (700 × 420 mm)</t>
  </si>
  <si>
    <t>PREFA Dachówka Łupkowa długa do połączeń (840 × 240 mm)</t>
  </si>
  <si>
    <t>4: Die Mengen können je nach Wunsch in Stück (Stk) oder aufgerundet auf die nächste Verpackungseinheit (VPE) berechnet werden.</t>
  </si>
  <si>
    <t>4: Quantities can be calculated per piece (pc.) or rounded up to the next packaging unit (PU).</t>
  </si>
  <si>
    <t>4: Les quantités peuvent être calculées à la pièce (pc.) ou bien arrondies à l’unité d’emballage (UE) supérieure.</t>
  </si>
  <si>
    <t>4: Le quantità possono essere calcolate in pezzi (PZ) oppure arrotondati all'intera unità di confezionamento (CF)</t>
  </si>
  <si>
    <t xml:space="preserve">4: Množství může být počítáno dle přání na jednotlivé kusy (ks) nebo zaokrouhleno na celá balení </t>
  </si>
  <si>
    <t>4: Ilość można skalkulować na sztuki (szt.) lub zaokrąglić do pełnych opakowań ( opakowanie ).</t>
  </si>
  <si>
    <t>4: A mennyiségeket igény szerint darabszámmal, vagy csomagolási egységre kerekítve is megadhatja</t>
  </si>
  <si>
    <t>4: Množstvá sa môžu spočítavať v kusoch (ks), alebo zaokrúhľovať nahor na celé balenie (VPE) podľa potreby.</t>
  </si>
  <si>
    <t>4: Količine lahko izračunate po kosih (kos), ali jih zaokrožite na enoto pakiranje (PAK)</t>
  </si>
  <si>
    <t>01 P.10 braun</t>
  </si>
  <si>
    <t>04 P.10 ziegelrot</t>
  </si>
  <si>
    <t>02 P.10 anthrazit</t>
  </si>
  <si>
    <t>03 P.10 schwarz</t>
  </si>
  <si>
    <t>05 P.10 oxydrot</t>
  </si>
  <si>
    <t>06 P.10 moosgrün</t>
  </si>
  <si>
    <t xml:space="preserve">07 P.10 hellgrau </t>
  </si>
  <si>
    <t>11 P.10 nussbraun</t>
  </si>
  <si>
    <t>43 P.10 steingrau</t>
  </si>
  <si>
    <t>08 P.10 zinkgrau</t>
  </si>
  <si>
    <t>10 P.10 prefaweiß</t>
  </si>
  <si>
    <t>017012</t>
  </si>
  <si>
    <t>040100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</si>
  <si>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</si>
  <si>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</si>
  <si>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</si>
  <si>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</si>
  <si>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</si>
  <si>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</si>
  <si>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</si>
  <si>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</si>
  <si>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030110</t>
  </si>
  <si>
    <t>030124</t>
  </si>
  <si>
    <t>01 P.10 brown</t>
  </si>
  <si>
    <t>01 P.10 brun</t>
  </si>
  <si>
    <t>01 P.10 Marrone</t>
  </si>
  <si>
    <t>01 P.10 tmavě hnědá</t>
  </si>
  <si>
    <t>01 P.10 brązowy</t>
  </si>
  <si>
    <t>01 P.10 barna</t>
  </si>
  <si>
    <t>01 P.10 hnedá</t>
  </si>
  <si>
    <t>01 P.10 anodik rjava</t>
  </si>
  <si>
    <t>02 P.10 anthracite</t>
  </si>
  <si>
    <t>02 P.10 Antracite</t>
  </si>
  <si>
    <t>02 P.10 antracit</t>
  </si>
  <si>
    <t>02 P.10 antracyt</t>
  </si>
  <si>
    <t>02 P.10 antracitová</t>
  </si>
  <si>
    <t>02 P.10 antracitna</t>
  </si>
  <si>
    <t>03 P.10 black</t>
  </si>
  <si>
    <t>03 P.10 noir</t>
  </si>
  <si>
    <t>03 P.10 Nero</t>
  </si>
  <si>
    <t>03 P.10 černá</t>
  </si>
  <si>
    <t>03 P.10 czarny</t>
  </si>
  <si>
    <t>03 P.10 fekete</t>
  </si>
  <si>
    <t>03 P.10 čierna</t>
  </si>
  <si>
    <t>03 P.10 črna</t>
  </si>
  <si>
    <t>04 P.10 brick red</t>
  </si>
  <si>
    <t>04 P.10 rouge tuile</t>
  </si>
  <si>
    <t>04 P.10 Rosso cotto</t>
  </si>
  <si>
    <t>04 P.10 cihlově červená</t>
  </si>
  <si>
    <t>04 P.10 ceglasty</t>
  </si>
  <si>
    <t>04 P.10 téglavörös</t>
  </si>
  <si>
    <t>04 P.10 tehlovočervená</t>
  </si>
  <si>
    <t>04 P.10 bakreno rjava</t>
  </si>
  <si>
    <t>05 P.10 oxide red</t>
  </si>
  <si>
    <t>05 P.10 rouge oxyde</t>
  </si>
  <si>
    <t>05 P.10 Rosso ossido</t>
  </si>
  <si>
    <t>05 P.10 tmavě červená</t>
  </si>
  <si>
    <t>05 P.10 czerwony</t>
  </si>
  <si>
    <t>05 P.10 rozsdavörös</t>
  </si>
  <si>
    <t>05 P.10 tmavočervená</t>
  </si>
  <si>
    <t>05 P.10 oksidno rdeča</t>
  </si>
  <si>
    <t>06 P.10 moss green</t>
  </si>
  <si>
    <t>06 P.10 vert mousse</t>
  </si>
  <si>
    <t>06 P.10 Verde muschio</t>
  </si>
  <si>
    <t>06 P.10 mechově zelená</t>
  </si>
  <si>
    <t>06 P.10 zieleń mchu</t>
  </si>
  <si>
    <t>06 P.10 mohazöld</t>
  </si>
  <si>
    <t>06 P.10 machovozelená</t>
  </si>
  <si>
    <t>06 P.10 mahovo zelena</t>
  </si>
  <si>
    <t>07 P.10 light grey</t>
  </si>
  <si>
    <t>07 P.10 gris souris</t>
  </si>
  <si>
    <t>07 P.10 Grigio chiaro</t>
  </si>
  <si>
    <t>07 P.10 světle šedá</t>
  </si>
  <si>
    <t>07 P.10 jasnoszary</t>
  </si>
  <si>
    <t>07 P.10 világosszürke</t>
  </si>
  <si>
    <t>07 P.10 svetlošedá</t>
  </si>
  <si>
    <t>07 P.10 svetlo siva</t>
  </si>
  <si>
    <t>11 P.10 nut brown</t>
  </si>
  <si>
    <t>11 P.10 brun noisette</t>
  </si>
  <si>
    <t>11 P.10 Testa di moro</t>
  </si>
  <si>
    <t>11 P.10 oříšková</t>
  </si>
  <si>
    <t>11 P.10 szarocynkowy</t>
  </si>
  <si>
    <t>11 P.10 mogyoróbarna</t>
  </si>
  <si>
    <t>11 P.10 orieškovohnedá</t>
  </si>
  <si>
    <t>11 P.10 testa di moro</t>
  </si>
  <si>
    <t>43 P.10 stone grey</t>
  </si>
  <si>
    <t>43 P.10 gris pierre</t>
  </si>
  <si>
    <t>43 P.10 Grigio pietra</t>
  </si>
  <si>
    <t>43 P.10 břidlicová</t>
  </si>
  <si>
    <t>43 P.10 szary kamienny</t>
  </si>
  <si>
    <t>43 P.10 márványszürke</t>
  </si>
  <si>
    <t>43 P.10 kamenná šedá</t>
  </si>
  <si>
    <t>43 P.10 kamnito siva</t>
  </si>
  <si>
    <t>10 prefa white</t>
  </si>
  <si>
    <t>10 blanc prefa</t>
  </si>
  <si>
    <t>10 bianco Prefa</t>
  </si>
  <si>
    <t>10 prefa bílá</t>
  </si>
  <si>
    <t>10 PREFA Biały</t>
  </si>
  <si>
    <t>10 prefafehér</t>
  </si>
  <si>
    <t>10 prefa biela</t>
  </si>
  <si>
    <t>10 prefa bela</t>
  </si>
  <si>
    <t>10 P.10 prefa white</t>
  </si>
  <si>
    <t>10 P.10 blanc prefa</t>
  </si>
  <si>
    <t>10 P.10 bianco Prefa</t>
  </si>
  <si>
    <t>10 P.10 prefa bílá</t>
  </si>
  <si>
    <t>10 P.10 PREFA Biały</t>
  </si>
  <si>
    <t>10 P.10 prefafehér</t>
  </si>
  <si>
    <t>10 P.10 prefa biela</t>
  </si>
  <si>
    <t>10 P.10 prefa bela</t>
  </si>
  <si>
    <t>13 plain aluminium</t>
  </si>
  <si>
    <t>13 aluminium naturel</t>
  </si>
  <si>
    <t>13 Alluminio naturale</t>
  </si>
  <si>
    <t>13 přírodní hliník</t>
  </si>
  <si>
    <t>13 naturalny</t>
  </si>
  <si>
    <t>13 natúr alumínium</t>
  </si>
  <si>
    <t>13 prírodný hliník</t>
  </si>
  <si>
    <t>13 natur</t>
  </si>
  <si>
    <t>12 metallic silver</t>
  </si>
  <si>
    <t>12 argent métallisé</t>
  </si>
  <si>
    <t>12 silver metallizzato</t>
  </si>
  <si>
    <t>12 stříbrná metalíza</t>
  </si>
  <si>
    <t>12 srebrny metalik</t>
  </si>
  <si>
    <t>12 ezüstmetál</t>
  </si>
  <si>
    <t>12 strieborná metalíza</t>
  </si>
  <si>
    <t>12 kovinsko srebrna</t>
  </si>
  <si>
    <t>02 antracite</t>
  </si>
  <si>
    <t>02 anthracit</t>
  </si>
  <si>
    <t>02 antracyt</t>
  </si>
  <si>
    <t>01 brown</t>
  </si>
  <si>
    <t>01 brun</t>
  </si>
  <si>
    <t>01 marrone</t>
  </si>
  <si>
    <t>01 Tmavě hnědá</t>
  </si>
  <si>
    <t>01 brązowy</t>
  </si>
  <si>
    <t>01 barna/antracit</t>
  </si>
  <si>
    <t>01 hnedá</t>
  </si>
  <si>
    <t>01 anodik rjava</t>
  </si>
  <si>
    <t>07 light grey</t>
  </si>
  <si>
    <t>07 gris souris</t>
  </si>
  <si>
    <t>07 grigio chiaro</t>
  </si>
  <si>
    <t>07 světle šedá</t>
  </si>
  <si>
    <t>07 jasnoszary</t>
  </si>
  <si>
    <t>07 világosszürke</t>
  </si>
  <si>
    <t>07 svetlošedá</t>
  </si>
  <si>
    <t>07 svetlo siva</t>
  </si>
  <si>
    <t>11 nut brown</t>
  </si>
  <si>
    <t>11 brun noisette</t>
  </si>
  <si>
    <t>11 testa di moro</t>
  </si>
  <si>
    <t>11 oříšková</t>
  </si>
  <si>
    <t>11 orzechowy brąz</t>
  </si>
  <si>
    <t>11 mogyoróbarna</t>
  </si>
  <si>
    <t>11 orieškovohnedá</t>
  </si>
  <si>
    <t>05 oxide red</t>
  </si>
  <si>
    <t>05 rouge oxyde</t>
  </si>
  <si>
    <t>05 rosso ossido</t>
  </si>
  <si>
    <t>05 tmavě červená_CZ</t>
  </si>
  <si>
    <t>05 czerwony</t>
  </si>
  <si>
    <t xml:space="preserve">05 rozsdavörös   </t>
  </si>
  <si>
    <t>05 tmavočervená</t>
  </si>
  <si>
    <t>05 oksidno rdeča</t>
  </si>
  <si>
    <t>03 black</t>
  </si>
  <si>
    <t>03 noir</t>
  </si>
  <si>
    <t>03 nero</t>
  </si>
  <si>
    <t>03 černá</t>
  </si>
  <si>
    <t>03 czarny</t>
  </si>
  <si>
    <t>03 fekete</t>
  </si>
  <si>
    <t>03 čierna</t>
  </si>
  <si>
    <t>03 črna</t>
  </si>
  <si>
    <t>04 brick red</t>
  </si>
  <si>
    <t>04 rouge tuile</t>
  </si>
  <si>
    <t>04 rosso cotto</t>
  </si>
  <si>
    <t>04 cihlově červená</t>
  </si>
  <si>
    <t>04 ceglasty</t>
  </si>
  <si>
    <t>04 téglavörös</t>
  </si>
  <si>
    <t>04 tehlovočervená</t>
  </si>
  <si>
    <t>04 bakreno rjava</t>
  </si>
  <si>
    <t>08 zinc grey</t>
  </si>
  <si>
    <t>08 gris de zinc</t>
  </si>
  <si>
    <t>08 grigio zinco</t>
  </si>
  <si>
    <t>08 zinkově šedá</t>
  </si>
  <si>
    <t>08 szarocynkowy</t>
  </si>
  <si>
    <t>08 cinkszürke</t>
  </si>
  <si>
    <t>08 zinkovošedá</t>
  </si>
  <si>
    <t>08 cinkovo siva</t>
  </si>
  <si>
    <t>08 P.10 zinc grey</t>
  </si>
  <si>
    <t>08 P.10 gris de zinc</t>
  </si>
  <si>
    <t>08 P.10 grigio zinco</t>
  </si>
  <si>
    <t>08 P.10 zinkově šedá</t>
  </si>
  <si>
    <t>08 P.10 szarocynkowy</t>
  </si>
  <si>
    <t>08 P.10 cinkszürke</t>
  </si>
  <si>
    <t>08 P.10 zinkovošedá</t>
  </si>
  <si>
    <t>08 P.10 cinkovo siva</t>
  </si>
  <si>
    <t>PREFA Unterlagsplatte L=660 x B=125 mm, stucco</t>
  </si>
  <si>
    <t>PREFA Unterlagsplatte L=540 x B=125 mm, stucco</t>
  </si>
  <si>
    <t>PREFA base plate (length = 660 × width = 125 mm), stucco</t>
  </si>
  <si>
    <t>Plaque de support (longueur = 660 × largeur = 125 mm), stucco</t>
  </si>
  <si>
    <t>PREFA Sottopiastra L=660 x B=125 mm, goffrata</t>
  </si>
  <si>
    <t>PREFA Montážní podložka D=660 x Š=125 mm, stucco</t>
  </si>
  <si>
    <t>PREFA element podkładowy (długość = 660 × szerokość = 125 mm), stucco</t>
  </si>
  <si>
    <t>PREFA alátétlemez H=660 x SZ=125mm, stukkó</t>
  </si>
  <si>
    <t>PREFA montážna podložka D=660 x Š=125 mm, stucco</t>
  </si>
  <si>
    <t>PREFA podložna plošča L=660 x B=125 mm, stucco</t>
  </si>
  <si>
    <t>PREFA base plate (length = 540 × width = 125 mm), stucco</t>
  </si>
  <si>
    <t>Plaque de support (longueur = 540 × largeur = 125 mm), stucco</t>
  </si>
  <si>
    <t>PREFA Sottopiastra L=540 x B=125 mm, goffrata</t>
  </si>
  <si>
    <t>PREFA Montážní podložka D=540 x Š=125 mm, stucco</t>
  </si>
  <si>
    <t>PREFA element podkładowy (długość = 540 × szerokość = 125 mm), stucco</t>
  </si>
  <si>
    <t>PREFA alátétlemez H=540 x SZ=125mm, stukkó</t>
  </si>
  <si>
    <t>PREFA montážna podložka D=540 x Š=125 mm, stucco</t>
  </si>
  <si>
    <t>PREFA podložna plošča L=540 x B=125 mm, stucco</t>
  </si>
  <si>
    <t>PREFA Niro Winkellangschiebehaft, Scharenlänge 12 bis 15 m</t>
  </si>
  <si>
    <t>PREFA stainless steel preformed long sliding clip; tray length 12 up to 15 m</t>
  </si>
  <si>
    <t>patte longue coulissante inox, jusqu’à une longueur 12 de bac de 15 m</t>
  </si>
  <si>
    <t>PREFA Graffetta scorrevole maggiorata, in acciaio inox, llunghezza lastre 12 fino a 15m</t>
  </si>
  <si>
    <t>PREFA Posuvná příponka úhlová dlouhá do 12 - 15 m, nerez</t>
  </si>
  <si>
    <t>PREFA NIRO Zaczep kątowy przesuwny o zwiększonym zakresie ze stali nierdzewnej 12 do 15 m</t>
  </si>
  <si>
    <t>PREFA NIRO hosszított csúszóhafter 12 - 15 m sarnihosszig</t>
  </si>
  <si>
    <t>PREFA NIRO uhlová posuvná dlhá príponka 12 do 15 m</t>
  </si>
  <si>
    <t>PREFA pomično sidro (dolžina trakov 12 do 15 m)</t>
  </si>
  <si>
    <t>040120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</si>
  <si>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</si>
  <si>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</si>
  <si>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</si>
  <si>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</si>
  <si>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</si>
  <si>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</si>
  <si>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</si>
  <si>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</si>
  <si>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4: Eventualpositionen können hier gekennzeichnet werden.</t>
  </si>
  <si>
    <t>4: Any additional options can be indicated in this field.</t>
  </si>
  <si>
    <t>4: Ce champ permet d’indiquer les éventuelles options supplémentaires.</t>
  </si>
  <si>
    <t>4: Eventuali note possono essere segnate in questo spazio</t>
  </si>
  <si>
    <t>4: Zde mohu být označeny alternativní položky</t>
  </si>
  <si>
    <t>4: W tym polu można zaznaczyć dodatkowe opcje.</t>
  </si>
  <si>
    <t>4: Itt adhat meg kiegészítő adatokat</t>
  </si>
  <si>
    <t>4: Sem možete zapísať ďalšie položky</t>
  </si>
  <si>
    <t>4: tukaj lahko označite morebitne pozicije</t>
  </si>
  <si>
    <t>5: na koncu tabele lahko vnesete elemente, ki niso navedeni na seznamu</t>
  </si>
  <si>
    <t>5: Položky, ktoré nie sú uvedené v zozname, je možné uviesť na konci tabuľky</t>
  </si>
  <si>
    <t>5: A táblázat végén adhat meg a táblázatban nem szereplő tételeket</t>
  </si>
  <si>
    <t>5: Na końcu tabeli można wpisać dowolne pozycje, które nie znajdują się na liście.</t>
  </si>
  <si>
    <t xml:space="preserve">5: Na konci tabulky mohou být uvedeny položky, které nejsou v seznamu </t>
  </si>
  <si>
    <t>5: In fondo alla tabella, possono essere inseriti ulteriori articoli non presenti nella lista</t>
  </si>
  <si>
    <t>5: Vous pouvez intégrer en bas de tableau des articles qui ne sont pas mentionnés dans la liste.</t>
  </si>
  <si>
    <t>5: Any items which do not appear in the list can be entered at the end of the table.</t>
  </si>
  <si>
    <t>5: Am Tabellenende können Artikel, die nicht in der Liste aufgelistet sind, eingetragen werden..</t>
  </si>
  <si>
    <t>6: Zusatzvermerke können hier eingefügt werden.</t>
  </si>
  <si>
    <t>7: Nicht benötigte Positionen können durch den Filter ausgeblendet werden.</t>
  </si>
  <si>
    <t>6: Add any additional comments here.</t>
  </si>
  <si>
    <t>7: Use this filter to mask any entries that you do not require.</t>
  </si>
  <si>
    <t>6: Ce champ vous permet de fournir des indications supplémentaires.</t>
  </si>
  <si>
    <t>7: Le filtre permet de masquer les entrées dont vous n’avez pas besoin.</t>
  </si>
  <si>
    <t>6: Ulteriori annotazioni possono essere inserite qui</t>
  </si>
  <si>
    <t>7: Posizioni non necessarie possono essere nascoste con l'utilizzo dei filtri</t>
  </si>
  <si>
    <t>6:Zde je možné vložit další poznámky</t>
  </si>
  <si>
    <t xml:space="preserve">7: Nepoužívané položky mohou být pomocí filtru odstraněny </t>
  </si>
  <si>
    <t>6: Dodaj dodatkowe komentarze tutaj.</t>
  </si>
  <si>
    <t>7: Użyj tego filtru do ukrycia wpisów, których nie potrzebujesz.</t>
  </si>
  <si>
    <t>6: megjegyzések</t>
  </si>
  <si>
    <t>7: A nem szükséges pozíciók kiszűrhetők</t>
  </si>
  <si>
    <t>6: Sem môžete zapísať ďalšie poznámky</t>
  </si>
  <si>
    <t xml:space="preserve">7: Nepotrebné položky sa môžu nezobraziť pomocou filtra </t>
  </si>
  <si>
    <t>6: tu lahko dodate dodatne opombe</t>
  </si>
  <si>
    <t>7: pazite na neoznačene pozicije pri filtriranju</t>
  </si>
  <si>
    <t>szt</t>
  </si>
  <si>
    <t>opak.</t>
  </si>
  <si>
    <t>45 bronzo</t>
  </si>
  <si>
    <t>45 bronz</t>
  </si>
  <si>
    <t>45 brons</t>
  </si>
  <si>
    <t>46 patina green</t>
  </si>
  <si>
    <t>46 patine verte</t>
  </si>
  <si>
    <t>46 patina verde</t>
  </si>
  <si>
    <t>46 patina zelená</t>
  </si>
  <si>
    <t>46 patina zöld</t>
  </si>
  <si>
    <t>46 patina zelena</t>
  </si>
  <si>
    <t>23 black gray</t>
  </si>
  <si>
    <t>23 noir gris</t>
  </si>
  <si>
    <t>23 nero grigio</t>
  </si>
  <si>
    <t>23 černě šedá</t>
  </si>
  <si>
    <t>23 fekete szürke</t>
  </si>
  <si>
    <t>23 čierna sivá</t>
  </si>
  <si>
    <t>23 črna siva</t>
  </si>
  <si>
    <t>47 patina siva</t>
  </si>
  <si>
    <t>47 patina šedá</t>
  </si>
  <si>
    <t>47 patina szürke</t>
  </si>
  <si>
    <t>47 patina grigia</t>
  </si>
  <si>
    <t>47 patine grise</t>
  </si>
  <si>
    <t>47 patina gray</t>
  </si>
  <si>
    <t>_Dänisch</t>
  </si>
  <si>
    <t>_Kroatisch</t>
  </si>
  <si>
    <t>Sprache_HR</t>
  </si>
  <si>
    <t>PREFA DACHSYSTEME_HR</t>
  </si>
  <si>
    <t>DACHPLATTE_HR</t>
  </si>
  <si>
    <t>RETOURNIERUNG PER FAX:_HR</t>
  </si>
  <si>
    <t>ODER EMAIL:_HR</t>
  </si>
  <si>
    <t>Datum:_HR</t>
  </si>
  <si>
    <t>Firma / Besteller:_HR</t>
  </si>
  <si>
    <t>Name:_HR</t>
  </si>
  <si>
    <t>Straße:_HR</t>
  </si>
  <si>
    <t>Ort:_HR</t>
  </si>
  <si>
    <t>Ansprechpartner:_HR</t>
  </si>
  <si>
    <t>Telefon:_HR</t>
  </si>
  <si>
    <t>eMail:_HR</t>
  </si>
  <si>
    <t>Lieferadresse:_HR</t>
  </si>
  <si>
    <t>Kommission:_HR</t>
  </si>
  <si>
    <t>Oberfläche:_HR</t>
  </si>
  <si>
    <t>stucco_HR</t>
  </si>
  <si>
    <t>glatt_HR</t>
  </si>
  <si>
    <t>Mengen in:_HR</t>
  </si>
  <si>
    <t>VPE_HR</t>
  </si>
  <si>
    <t>STK_HR</t>
  </si>
  <si>
    <t>Farbe:_HR</t>
  </si>
  <si>
    <t>01 P.10 braun_HR</t>
  </si>
  <si>
    <t>02 P.10 anthrazit_HR</t>
  </si>
  <si>
    <t>03 P.10 schwarz_HR</t>
  </si>
  <si>
    <t>04 P.10 ziegelrot_HR</t>
  </si>
  <si>
    <t>05 P.10 oxydrot_HR</t>
  </si>
  <si>
    <t>06 P.10 moosgrün_HR</t>
  </si>
  <si>
    <t>07 P.10 hellgrau _HR</t>
  </si>
  <si>
    <t>11 P.10 nussbraun_HR</t>
  </si>
  <si>
    <t>43 P.10 steingrau_HR</t>
  </si>
  <si>
    <t>13 naturblank_HR</t>
  </si>
  <si>
    <t>pulverbeschichtet_HR</t>
  </si>
  <si>
    <t>Farbe_HR</t>
  </si>
  <si>
    <t>Menge_HR</t>
  </si>
  <si>
    <t>Einheit_HR</t>
  </si>
  <si>
    <t>Abbildung_HR</t>
  </si>
  <si>
    <t>Bezeichnung_HR</t>
  </si>
  <si>
    <t>Total_HR</t>
  </si>
  <si>
    <t>Eventual_HR</t>
  </si>
  <si>
    <t>m²_HR</t>
  </si>
  <si>
    <t>lfm_HR</t>
  </si>
  <si>
    <t>Karton_HR</t>
  </si>
  <si>
    <t>kg_HR</t>
  </si>
  <si>
    <t>Pkt_HR</t>
  </si>
  <si>
    <t>Set_HR</t>
  </si>
  <si>
    <t>Rolle_HR</t>
  </si>
  <si>
    <t>Rollen_HR</t>
  </si>
  <si>
    <t>Zusatzvermerk:_HR</t>
  </si>
  <si>
    <t>PREFA Dachplatte (600 x 420 mm, 40 Stk./Kart.) inkl. Rillennägel (28/30) und Patenthafte_HR</t>
  </si>
  <si>
    <t>PREFA Saumstreifen braun, vorgelocht (1.806x150x1,20 mm)_HR</t>
  </si>
  <si>
    <t>PREFA Saumstreifen gerillt (für Abtreppung 600 x 150 mm)_HR</t>
  </si>
  <si>
    <t>PREFA Patenthaft für Dachplatte und Dachschindel_HR</t>
  </si>
  <si>
    <t>Haftemagazin zum Nachladen für Bull Tack Nagler
80 Stk/Haftemagazin, 30 Mag/Karton_HR</t>
  </si>
  <si>
    <t>auswählen_HR</t>
  </si>
  <si>
    <t>Mengenermittlung/Anfrage_HR</t>
  </si>
  <si>
    <t>Filter:_HR</t>
  </si>
  <si>
    <t>Bestellung_HR</t>
  </si>
  <si>
    <t>Service:_HR</t>
  </si>
  <si>
    <t>Vielen Dank für Ihre Mengenermittlung_HR</t>
  </si>
  <si>
    <t>Vielen Dank für Ihre Bestellung_HR</t>
  </si>
  <si>
    <t>PREFA Rillennagel verzinkt_HR</t>
  </si>
  <si>
    <t>28/25 (1 kg = ca. 570 St.)_HR</t>
  </si>
  <si>
    <t>28/30 (1 kg = ca. 480 St.)_HR</t>
  </si>
  <si>
    <t>28/40 (1 kg = ca. 380 St.)_HR</t>
  </si>
  <si>
    <t>Nägel für Bull Tack Power Nagler_HR</t>
  </si>
  <si>
    <t>Länge 26 mm (3.200 Stk/Karton)_HR</t>
  </si>
  <si>
    <t>Länge 35 mm (2.400 Stk/Karton)_HR</t>
  </si>
  <si>
    <t>Länge 26 mm (3.200 Stk/Karton) NIRO_HR</t>
  </si>
  <si>
    <t>PREFA Einlaufblech glatt 230 × 2.000 × 0,7 mm_HR</t>
  </si>
  <si>
    <t>PREFA Lüftungsband_HR</t>
  </si>
  <si>
    <t>1x250 (A=140 B=85 C=25 mm)_HR</t>
  </si>
  <si>
    <t>1x333 (A=223 B=85 C=25 mm)_HR</t>
  </si>
  <si>
    <t>PREFA Vogelschutzgitter braun/anthrazit (125x2.000x0,7mm)_HR</t>
  </si>
  <si>
    <t>PREFA Ortgangstreifen (95 x 2.000 x 0,70 mm)_HR</t>
  </si>
  <si>
    <t>PREFA Sicherheitskehle stucco (3.000 mm lang)_HR</t>
  </si>
  <si>
    <t>PREFA Grat- und Firstreiter 500 x 1,00 mm stucco
inkl. Niro Schraube 4,5x45mm und Dichscheibe_HR</t>
  </si>
  <si>
    <t>PREFA Grat-/Firstreiter Anfangs-/Endstück stucco_HR</t>
  </si>
  <si>
    <t>PREFA Jet-Lüfter stucco (1.200mm) inkl. Niro Schr. u.Dichtsch._HR</t>
  </si>
  <si>
    <t>PREFA Jet-Lüfter stucco (3.000mm) inkl. Niro Schr. u.Dichtsch._HR</t>
  </si>
  <si>
    <t>PREFA Jet-Lüfter-Endstück stucco_HR</t>
  </si>
  <si>
    <t>Niro-Schraube mit Dichtscheibe für Grat-/Firstreiter_HR</t>
  </si>
  <si>
    <t>Niro-Schraube mit Dichtscheibe für Jet-Lüfter_HR</t>
  </si>
  <si>
    <t>(4,5 x 45 mm, 250 Stk/Pkt)_HR</t>
  </si>
  <si>
    <t>(4,5 x 45 mm, 250 Stk/Pkt, blank)_HR</t>
  </si>
  <si>
    <t>(4,5 x 60 mm, 100 Stk/Pkt)_HR</t>
  </si>
  <si>
    <t>(4,5 x 60 mm, 100 Stk/Pkt, blank)_HR</t>
  </si>
  <si>
    <t>PREFA Froschmaulluken-Haube zum aufnieten glatt
Lüftungsquerschnitt ca. 30 cm²_HR</t>
  </si>
  <si>
    <t>PREFA Froschmaulluke für Dachplatte 300x420 mm
Lüftungsquerschnitt ca. 30 cm²_HR</t>
  </si>
  <si>
    <t>PREFA Dachluke (600x600 mm) komplett mit Holzrahmen_HR</t>
  </si>
  <si>
    <t>PREFA Einfassung für Velux-Dachflächenfenster stucco_HR</t>
  </si>
  <si>
    <t>PREFA Einfassung für Roto-Dachflächenfenster stucco_HR</t>
  </si>
  <si>
    <t>PREFA Einzeltritt inkl. zwei Fußteilen_HR</t>
  </si>
  <si>
    <t>PREFA Laufstegstütze verzinkt für Laufstege_HR</t>
  </si>
  <si>
    <t>PREFA Laufsteg (250 x 1.200 mm)_HR</t>
  </si>
  <si>
    <t>PREFA Laufsteg (250 x 800 mm)_HR</t>
  </si>
  <si>
    <t>PREFA Laufsteg (250 x 600 mm)_HR</t>
  </si>
  <si>
    <t>PREFA Laufsteg (250 x 420 mm)_HR</t>
  </si>
  <si>
    <t>PREFALZ Ergänzungsband_HR</t>
  </si>
  <si>
    <t>0,7 x 500 mm_HR</t>
  </si>
  <si>
    <t>0,7 x 650 mm_HR</t>
  </si>
  <si>
    <t>0,7 x 1.000 mm_HR</t>
  </si>
  <si>
    <t>PREFA Verbinder verzinkt für Laufsteg_HR</t>
  </si>
  <si>
    <t>PREFA Dach-Sicherheitshaken nach EN 517B auf Fussteilen_HR</t>
  </si>
  <si>
    <t>PREFA Dach-Sicherheitshaken nach EN 517B_HR</t>
  </si>
  <si>
    <t>PREFA Einfassungsplatte für Dachplatte, glatt, Ø 80 - 125 mm_HR</t>
  </si>
  <si>
    <t>PREFA Universaleinfassung 2-teilig, glatt, Ø 40 - 120 mm_HR</t>
  </si>
  <si>
    <t>MIT Wärmedämmung_HR</t>
  </si>
  <si>
    <t>OHNE Wärmedämmung_HR</t>
  </si>
  <si>
    <t>Maße:_HR</t>
  </si>
  <si>
    <t>moosgrün/hellgrau_HR</t>
  </si>
  <si>
    <t>braun/anthrazit_HR</t>
  </si>
  <si>
    <t>ziegelrot/oxydrot_HR</t>
  </si>
  <si>
    <t>prefaweiß/prefaweiß_HR</t>
  </si>
  <si>
    <t>PREFA Entlüftungshaube Ø 100, glatt_HR</t>
  </si>
  <si>
    <t>PREFA Entlüftungsrohr ⌀ 100, passend für HT-Rohr NW 110_HR</t>
  </si>
  <si>
    <t>PREFA Entlüftungsrohr ⌀ 120, passend für HT-Rohr NW 125_HR</t>
  </si>
  <si>
    <t>PREFA Faltmanschette Ø 100-130_HR</t>
  </si>
  <si>
    <t>PREFA Unterlagsplatte L=660 x B=125 mm, stucco_HR</t>
  </si>
  <si>
    <t>PREFA Unterlagsplatte L=540 x B=125 mm, stucco_HR</t>
  </si>
  <si>
    <t>PREFA Schneestopper für Dachplatte und DACHRAUTE 29 × 29_HR</t>
  </si>
  <si>
    <t>PREFA Schneerechenhaken_HR</t>
  </si>
  <si>
    <t>PREFA Rundstange (15 Ø x 3.000 mm) für Schneerechenhaken_HR</t>
  </si>
  <si>
    <t>PREFA Abschluss für Schneerechen_HR</t>
  </si>
  <si>
    <t>PREFA Schneerechensystem (205 x 66 x 303 mm)_HR</t>
  </si>
  <si>
    <t>PREFA Schneerechensystem Einlegprofil (3.000 mm)_HR</t>
  </si>
  <si>
    <t>PREFA Schneerechensystem Eiskralle_HR</t>
  </si>
  <si>
    <t>PREFA Schneerechensystem Abschluss_HR</t>
  </si>
  <si>
    <t>PREFA Gebirgsschneefangstütze_HR</t>
  </si>
  <si>
    <t>PREFA Kaminhut 700 x 700 mm_HR</t>
  </si>
  <si>
    <t>PREFA Kaminhut 800 x 800 mm_HR</t>
  </si>
  <si>
    <t>PREFA Kaminhut 1.000 x 700 mm_HR</t>
  </si>
  <si>
    <t>PREFA Kaminhut 1.100 x 800 mm_HR</t>
  </si>
  <si>
    <t>PREFA Kaminhut 1.500 x 800 mm_HR</t>
  </si>
  <si>
    <t>Kaminstrebe gebogen_HR</t>
  </si>
  <si>
    <t>PREFA Flachprofil (35 x 7 x 3.000 mm)_HR</t>
  </si>
  <si>
    <t>PREFA Hauerbuckel, zum Abdecken von Befestigungsmitteln_HR</t>
  </si>
  <si>
    <t>PREFA Silikon Kartusche_HR</t>
  </si>
  <si>
    <t>PREFA Spezialkleberset_HR</t>
  </si>
  <si>
    <t>PREFA Rilleneisen_HR</t>
  </si>
  <si>
    <t>PREFA Abspanneisen_HR</t>
  </si>
  <si>
    <t>PREFA Lochblech DM 5 mm
ca. 24kg/Rolle (0,7x1.000 mm)_HR</t>
  </si>
  <si>
    <t>Ergänzungsband 1,0x1.000 mm (nur für Saumstreifen)_HR</t>
  </si>
  <si>
    <t>hellgrau/hellgrau_HR</t>
  </si>
  <si>
    <t>Anwendungstechnik_HR</t>
  </si>
  <si>
    <t>Stand:_HR</t>
  </si>
  <si>
    <t>PREFALZ Ergänzungsband 1,0x1.000 mm (nur für Saumstreifen)_HR</t>
  </si>
  <si>
    <t>PREFALZ Ergänzungsband 0,7x1.000 mm (für Zusatzverblechungen)_HR</t>
  </si>
  <si>
    <t>12 silbermetallic_HR</t>
  </si>
  <si>
    <t>250_HR</t>
  </si>
  <si>
    <t>280_HR</t>
  </si>
  <si>
    <t>333_HR</t>
  </si>
  <si>
    <t>400_HR</t>
  </si>
  <si>
    <t>500_HR</t>
  </si>
  <si>
    <t>0,75 l Dose_HR</t>
  </si>
  <si>
    <t>1.500 mm_HR</t>
  </si>
  <si>
    <t>1: Das gewünschte Produkt durch Anklicken des Reiters auswählen._HR</t>
  </si>
  <si>
    <t>100–160 mm_HR</t>
  </si>
  <si>
    <t>100–180 mm_HR</t>
  </si>
  <si>
    <t>100 ⌀_HR</t>
  </si>
  <si>
    <t>100 ⌀ 700–1.100 mm_HR</t>
  </si>
  <si>
    <t>100 ⌀ × 1.450 mm_HR</t>
  </si>
  <si>
    <t>100 × ⌀ 50–75 mm_HR</t>
  </si>
  <si>
    <t>120 ⌀_HR</t>
  </si>
  <si>
    <t>140 mm_HR</t>
  </si>
  <si>
    <t>150 ⌀_HR</t>
  </si>
  <si>
    <t>180–220 mm_HR</t>
  </si>
  <si>
    <t>180–260 mm_HR</t>
  </si>
  <si>
    <t>195 mm lang_HR</t>
  </si>
  <si>
    <t>2: Sämtliche Felder, die grau hinterlegt sind, können befüllt werden oder sind mit einer vordefinierten Auswahlliste hinterlegt._HR</t>
  </si>
  <si>
    <t>200 mm_HR</t>
  </si>
  <si>
    <t>230 × 2.000 × 0,7 mm_HR</t>
  </si>
  <si>
    <t>250 g_HR</t>
  </si>
  <si>
    <t>250/23 × 7_HR</t>
  </si>
  <si>
    <t>28 × 7 mm_HR</t>
  </si>
  <si>
    <t>290 ml reichen für ca. 4 lfm._HR</t>
  </si>
  <si>
    <t>3 m_HR</t>
  </si>
  <si>
    <t>3.000 mm_HR</t>
  </si>
  <si>
    <t>3: Sämtliche Optionsfelder können angewählt werden._HR</t>
  </si>
  <si>
    <t>300 ml_HR</t>
  </si>
  <si>
    <t>330 mm_HR</t>
  </si>
  <si>
    <t>333 mm / 100 × 100 mm_HR</t>
  </si>
  <si>
    <t>333/28 × 7_HR</t>
  </si>
  <si>
    <t>4 × 9,5 mm_HR</t>
  </si>
  <si>
    <t>4 × 25 × 370 mm_HR</t>
  </si>
  <si>
    <t>4,8 × 17 mm_HR</t>
  </si>
  <si>
    <t>4: Wurde als Farbe pulverbeschichtet gewählt, erscheint ein zusätzliches Eingabefeld für die Beschichtungsfarbe.._HR</t>
  </si>
  <si>
    <t>400 mm / 100 × 100 mm_HR</t>
  </si>
  <si>
    <t>400/30 × 7_HR</t>
  </si>
  <si>
    <t>5,0 × 80 mm_HR</t>
  </si>
  <si>
    <t>4: Die Mengen können je nach Wunsch in Stück (Stk) oder aufgerundet auf die nächste Verpackungseinheit (VPE) berechnet werden._HR</t>
  </si>
  <si>
    <t>50 ml Dose mit Pinsel_HR</t>
  </si>
  <si>
    <t>500/35 × 7_HR</t>
  </si>
  <si>
    <t>6 m_HR</t>
  </si>
  <si>
    <t>6.000 × 375 mm_HR</t>
  </si>
  <si>
    <t>4: Eventualpositionen können hier gekennzeichnet werden._HR</t>
  </si>
  <si>
    <t>60 mm Ausladung_HR</t>
  </si>
  <si>
    <t>60 ⌀_HR</t>
  </si>
  <si>
    <t>60 ⌀ × 3.000 mm_HR</t>
  </si>
  <si>
    <t>5: Am Tabellenende können Artikel, die nicht in der Liste aufgelistet sind, eingetragen werden.._HR</t>
  </si>
  <si>
    <t>700 × 1,0 mm_HR</t>
  </si>
  <si>
    <t>6: Zusatzvermerke können hier eingefügt werden._HR</t>
  </si>
  <si>
    <t>80 ⌀_HR</t>
  </si>
  <si>
    <t>7: Nicht benötigte Positionen können durch den Filter ausgeblendet werden._HR</t>
  </si>
  <si>
    <t>Ablaufdimension:_HR</t>
  </si>
  <si>
    <t>02 anthrazit_HR</t>
  </si>
  <si>
    <t>Bedienungsanleitung_HR</t>
  </si>
  <si>
    <t>01 braun_HR</t>
  </si>
  <si>
    <t>DACHENTWÄSSERUNG_HR</t>
  </si>
  <si>
    <t>DACHPANEL FX.12_HR</t>
  </si>
  <si>
    <t>DACHPLATTE R.16_HR</t>
  </si>
  <si>
    <t>DACHRAUTE 29 × 29_HR</t>
  </si>
  <si>
    <t>DACHRAUTE 44 × 44_HR</t>
  </si>
  <si>
    <t>DACHSCHINDEL_HR</t>
  </si>
  <si>
    <t>Dimension nicht möglich_HR</t>
  </si>
  <si>
    <t>Dimension wählen:_HR</t>
  </si>
  <si>
    <t>07 hellgrau_HR</t>
  </si>
  <si>
    <t>kurz_HR</t>
  </si>
  <si>
    <t>lang_HR</t>
  </si>
  <si>
    <t>Länge wählen:_HR</t>
  </si>
  <si>
    <t>06 moosgrün_HR</t>
  </si>
  <si>
    <t>normal_HR</t>
  </si>
  <si>
    <t>11 nussbraun_HR</t>
  </si>
  <si>
    <t>⌀ 100 mm passend für HT/KG (NW 110 mm)_HR</t>
  </si>
  <si>
    <t>⌀ 115 mm passend für HT/KG (NW 125 mm)_HR</t>
  </si>
  <si>
    <t>05 oxydrot_HR</t>
  </si>
  <si>
    <t>PREFA Abdeckkappe für Rohrschellendorn_HR</t>
  </si>
  <si>
    <t>PREFA Ablaufkette 5 mm_HR</t>
  </si>
  <si>
    <t>PREFA Ablaufrohr 1,6 mm DN 100_HR</t>
  </si>
  <si>
    <t>PREFA Ablaufrohr DN 60 geschweißt_HR</t>
  </si>
  <si>
    <t>PREFA Ablaufrohre_HR</t>
  </si>
  <si>
    <t>PREFA Aluminium Dachrinne mit Schutzfolie aussen_HR</t>
  </si>
  <si>
    <t>PREFA Aluminium Kastenrinne_HR</t>
  </si>
  <si>
    <t>PREFA Aluminium-Lötstäbe_HR</t>
  </si>
  <si>
    <t>PREFA Blitzschutzklemme_HR</t>
  </si>
  <si>
    <t>PREFA Überbügel_HR</t>
  </si>
  <si>
    <t>PREFA Dachlukendeckel_HR</t>
  </si>
  <si>
    <t>PREFA Dachlukendeckel mit Holzrahmen
(Innenmass 600x600mm)_HR</t>
  </si>
  <si>
    <t>PREFA Dachlukendeckel
(Innenmass 600 x 600 mm)_HR</t>
  </si>
  <si>
    <t>PREFA Dachplatte R.16 (700 × 420 mm)_HR</t>
  </si>
  <si>
    <t>PREFA Dachraute (29 × 29 mm, 120 Stk./Kart.)_HR</t>
  </si>
  <si>
    <t>PREFA Dachraute (440 × 440 mm, 42 Stk./Kart.)_HR</t>
  </si>
  <si>
    <t>PREFA DACHRINNENSYSTEME_HR</t>
  </si>
  <si>
    <t>PREFA Dachschindel (420 × 240 mm)_HR</t>
  </si>
  <si>
    <t>PREFA Dila_HR</t>
  </si>
  <si>
    <t>PREFA Einzelanschlagspunkt (EAP) nach EN 795, Klasse A (bis Bahnenbreite 650)_HR</t>
  </si>
  <si>
    <t>PREFA Eckverbinder für PREFA Rohr_HR</t>
  </si>
  <si>
    <t>PREFA Einfassungsplatte für Dachplatte R.16 und FX.12, glatt, ⌀ 80–125 mm_HR</t>
  </si>
  <si>
    <t>PREFA Einfassungsplatte für Dachraute 29 × 29, glatt, ⌀ 80–125 mm_HR</t>
  </si>
  <si>
    <t>PREFA Einfassungsplatte für Dachraute 44 × 44, glatt, ⌀ 80–125 mm_HR</t>
  </si>
  <si>
    <t>PREFA Einfassungsplatte für Dachschindel_HR</t>
  </si>
  <si>
    <t>PREFA Einlaufblech 230 × 2.000 × 0,7 mm_HR</t>
  </si>
  <si>
    <t>PREFA Einlaufblech glatt_HR</t>
  </si>
  <si>
    <t>PREFA Eisfänger_HR</t>
  </si>
  <si>
    <t>PREFA Endplatte (1,48 Stk./lfm, 40 Stk./Kart.)_HR</t>
  </si>
  <si>
    <t>PREFA Endplatte (2,2 Stk./lfm, 100 Stk./Kart.)_HR</t>
  </si>
  <si>
    <t>PREFA Entlüftungsrohr ⌀ 100_HR</t>
  </si>
  <si>
    <t>PREFA Entlüftungsrohr ⌀ 120_HR</t>
  </si>
  <si>
    <t>PREFA Falzgel_HR</t>
  </si>
  <si>
    <t>PREFA Froschmaulluke stucco für Dachschindel 420 x 240 mm
Lüftungsquerschnitt ca. 30 cm²_HR</t>
  </si>
  <si>
    <t>PREFA Froschmaullukenhaube zum Aufnieten, Lüftungsquerschnitt ca. 30 cm²_HR</t>
  </si>
  <si>
    <t>PREFA FX.12 Dachpanel kurz (700 × 420 mm)_HR</t>
  </si>
  <si>
    <t>PREFA FX.12 Dachpanel lang (1.400 × 420 mm)_HR</t>
  </si>
  <si>
    <t>PREFA Gummidichtung passend für HT/KG (NW 110 mm)_HR</t>
  </si>
  <si>
    <t>PREFA Halteklemme_HR</t>
  </si>
  <si>
    <t>PREFA Hängerinnen-Dila mit Wulst und Blende_HR</t>
  </si>
  <si>
    <t>PREFA Hängerinnen-Dila ohne Wulst und Blende_HR</t>
  </si>
  <si>
    <t>PREFA Holzrahmen
(Innenmass 600 x 600 mm)_HR</t>
  </si>
  <si>
    <t>PREFA Hydrolack_HR</t>
  </si>
  <si>
    <t>PREFA Kastenrinnen-Dila mit Wulst und Blende_HR</t>
  </si>
  <si>
    <t>PREFA Kastenrinnen-Dila ohne Wulst und Blende_HR</t>
  </si>
  <si>
    <t>PREFA Kastenrinnenendboden_HR</t>
  </si>
  <si>
    <t>PREFA Kastenrinnenkessel_HR</t>
  </si>
  <si>
    <t>PREFA Kastenrinnenwinkel außen 90°_HR</t>
  </si>
  <si>
    <t>PREFA Kastenrinnenwinkel innen 90°_HR</t>
  </si>
  <si>
    <t>PREFA Klebeeinfassung für Falzdächer ⌀ 120–170 mm_HR</t>
  </si>
  <si>
    <t>PREFA Klebeeinfassung für Falzdächer ⌀ 170–210 mm_HR</t>
  </si>
  <si>
    <t>PREFA Klebeeinfassung für Falzdächer ⌀ 50–65 mm_HR</t>
  </si>
  <si>
    <t>PREFA Klebeeinfassung für Falzdächer ⌀ 80–125 mm_HR</t>
  </si>
  <si>
    <t>PREFA Kugelendboden_HR</t>
  </si>
  <si>
    <t>PREFA Laubfänger (nur in braun)_HR</t>
  </si>
  <si>
    <t>PREFA Laufstegstütze für Laufstege_HR</t>
  </si>
  <si>
    <t>PREFA M10 Gewindedorn_HR</t>
  </si>
  <si>
    <t>PREFA NIRO Hosenhaft_HR</t>
  </si>
  <si>
    <t>PREFA NIRO Hosenschiebehaft_HR</t>
  </si>
  <si>
    <t>PREFA Niro Winkellangschiebehaft, Scharenlänge 12 bis 15 m_HR</t>
  </si>
  <si>
    <t>PREFA Niro Winkelschiebehaft, Scharenlänge bis 12 m_HR</t>
  </si>
  <si>
    <t>PREFA NIRO Winkelstehfalzhaft_HR</t>
  </si>
  <si>
    <t>PREFA Passschindel für Anschlüsse (840 × 240 mm)_HR</t>
  </si>
  <si>
    <t>PREFA Patentniete_HR</t>
  </si>
  <si>
    <t>PREFA Quadratrohr_HR</t>
  </si>
  <si>
    <t>PREFA Quadratrohrkessel für Kastenrinne_HR</t>
  </si>
  <si>
    <t>PREFA Quadratrohr mit Reinigungsöffnung_HR</t>
  </si>
  <si>
    <t>PREFA Quadratrohr-Muffe_HR</t>
  </si>
  <si>
    <t>PREFA Quadratrohr-Speiereinmündung_HR</t>
  </si>
  <si>
    <t>PREFA Quadratrohr-Wasserfangkasten 220/220/330_HR</t>
  </si>
  <si>
    <t>PREFA Quadratrohrbogen 72° kurz_HR</t>
  </si>
  <si>
    <t>PREFA Quadratrohrbogen 72° lang_HR</t>
  </si>
  <si>
    <t>PREFA Regenklappe_HR</t>
  </si>
  <si>
    <t>PREFA Rinnenendboden_HR</t>
  </si>
  <si>
    <t>PREFA Rinnenhaken_HR</t>
  </si>
  <si>
    <t>PREFA Rinnenhaken für Kastenrinne_HR</t>
  </si>
  <si>
    <t>PREFA Rinnenhaken Hochkant_HR</t>
  </si>
  <si>
    <t>PREFA Rinnenhaken Schweiz_HR</t>
  </si>
  <si>
    <t>PREFA Rinnenhaken-Nagel 5,0 × 80_HR</t>
  </si>
  <si>
    <t>PREFA Rinnenkessel_HR</t>
  </si>
  <si>
    <t>PREFA Rinnenwinkel außen 90°_HR</t>
  </si>
  <si>
    <t>PREFA Rinnenwinkel innen 90°_HR</t>
  </si>
  <si>
    <t>PREFA Rohr 28 × 2 × 3.000 mm, inkl. Muffe_HR</t>
  </si>
  <si>
    <t>PREFA Rohrbogen 40°_HR</t>
  </si>
  <si>
    <t>PREFA Rohrbogen 72°_HR</t>
  </si>
  <si>
    <t>PREFA Rohrbogen 85°_HR</t>
  </si>
  <si>
    <t>PREFA Rohreinmündung_HR</t>
  </si>
  <si>
    <t>PREFA Rohreinmündung konisch_HR</t>
  </si>
  <si>
    <t>PREFA Rohrschelle für Standrohre_HR</t>
  </si>
  <si>
    <t>PREFA Rohrschelle mit M10 Gewinde ohne Dorn_HR</t>
  </si>
  <si>
    <t>PREFA Rohrschellendorn_HR</t>
  </si>
  <si>
    <t>PREFA Rohrschellendübel mit Dorn (für WDVS)_HR</t>
  </si>
  <si>
    <t>PREFA Rohrschellenhalter (für WDVS)_HR</t>
  </si>
  <si>
    <t>PREFA Rohrverbinder_HR</t>
  </si>
  <si>
    <t>PREFA Sailerklemme doppelt_HR</t>
  </si>
  <si>
    <t>PREFA Sailerklemme einfach_HR</t>
  </si>
  <si>
    <t>PREFA Sailerklemme für Schrägfalze_HR</t>
  </si>
  <si>
    <t>PREFA Saumrinne mit Schutzfolie aussen_HR</t>
  </si>
  <si>
    <t>PREFA Saumrinnenendboden_HR</t>
  </si>
  <si>
    <t>PREFA Saumrinnenhaken_HR</t>
  </si>
  <si>
    <t>PREFA Saumstreifen (1.800 × 158 × 1,00 mm)_HR</t>
  </si>
  <si>
    <t>PREFA Schneestopper für Dachplatte R.16 und FX.12_HR</t>
  </si>
  <si>
    <t>PREFA Schneestopper für Dachraute 29 × 29_HR</t>
  </si>
  <si>
    <t>PREFA Schneestopper für Dachraute 44 × 44_HR</t>
  </si>
  <si>
    <t>PREFA Schneestopper für Dachschindel_HR</t>
  </si>
  <si>
    <t>PREFA Schrägstutzen_HR</t>
  </si>
  <si>
    <t>PREFA Sockelknie 60 mm Ausladung_HR</t>
  </si>
  <si>
    <t>PREFA Speiereinmündung_HR</t>
  </si>
  <si>
    <t>PREFA Standrohr mit Reinigungsöffnung_HR</t>
  </si>
  <si>
    <t>PREFA Standrohrkappe_HR</t>
  </si>
  <si>
    <t>PREFA Startplatte (1,48 Stk./lfm, 40 Stk./Kart.)_HR</t>
  </si>
  <si>
    <t>PREFA Startplatte (2,2 Stk./lfm, 100 Stk./Kart.)_HR</t>
  </si>
  <si>
    <t>PREFA Stirnbretthaken für Dachrinnen_HR</t>
  </si>
  <si>
    <t>PREFA Stirnbretthaken für Kastenrinnen_HR</t>
  </si>
  <si>
    <t>PREFA Saumrinnenstutzen_HR</t>
  </si>
  <si>
    <t>PREFA Teleskoprohrbogen, längenverstellbar von 700 bis 1.000 mm, DN 100_HR</t>
  </si>
  <si>
    <t>PREFA Vogelschutzgitter 125 × 2.000 × 0,7 mm_HR</t>
  </si>
  <si>
    <t>PREFA Wasserfangkasten 220/220/330_HR</t>
  </si>
  <si>
    <t>PREFA Wassersammler_HR</t>
  </si>
  <si>
    <t>PREFALZ_HR</t>
  </si>
  <si>
    <t>Prefalz Farbaluminiumband 0,7 × 1.000 mm_HR</t>
  </si>
  <si>
    <t>Prefalz Farbaluminiumband 0,7 × 1.000 mm (für Zusatzverblechungen)_HR</t>
  </si>
  <si>
    <t>Prefalz Farbaluminiumband 0,7 × 500 mm_HR</t>
  </si>
  <si>
    <t>Prefalz Farbaluminiumband 0,7 × 650 mm_HR</t>
  </si>
  <si>
    <t>10 prefaweiß_HR</t>
  </si>
  <si>
    <t>10 P.10 prefaweiß_HR</t>
  </si>
  <si>
    <t>QUADRATROHR_HR</t>
  </si>
  <si>
    <t>Rinnendimension:_HR</t>
  </si>
  <si>
    <t>Rinnenlänge wählen:_HR</t>
  </si>
  <si>
    <t>Rohrlänge wählen:_HR</t>
  </si>
  <si>
    <t>03 schwarz_HR</t>
  </si>
  <si>
    <t>PREFA Wandmontageplatte_HR</t>
  </si>
  <si>
    <t>04 ziegelrot_HR</t>
  </si>
  <si>
    <t>08 zinkgrau_HR</t>
  </si>
  <si>
    <t>08 P.10 zinkgrau_HR</t>
  </si>
  <si>
    <t>PREFA Dachrautenhaft 29 × 29_HR</t>
  </si>
  <si>
    <t>PREFA Rillennagel NIRO_HR</t>
  </si>
  <si>
    <t>PREFA Kastenrinnenendboden 500 links_HR</t>
  </si>
  <si>
    <t>PREFA Kastenrinnenendboden 500 rechts_HR</t>
  </si>
  <si>
    <t>45 bronze_HR</t>
  </si>
  <si>
    <t>46 patina grün_HR</t>
  </si>
  <si>
    <t>23 schwarzgrau_HR</t>
  </si>
  <si>
    <t>47 patina grau_HR</t>
  </si>
  <si>
    <t>Artikel Nr._HR</t>
  </si>
  <si>
    <t>svenska</t>
  </si>
  <si>
    <t>dansk</t>
  </si>
  <si>
    <t>06 moss green</t>
  </si>
  <si>
    <t>06 vert mousse</t>
  </si>
  <si>
    <t>06 verde muschio</t>
  </si>
  <si>
    <t>06 mechově zelená</t>
  </si>
  <si>
    <t>06 zieleń mchu</t>
  </si>
  <si>
    <t>06 mohazöld</t>
  </si>
  <si>
    <t>06 machovozelená</t>
  </si>
  <si>
    <t>06 mahovo zelena</t>
  </si>
  <si>
    <t>_Norwegisch</t>
  </si>
  <si>
    <r>
      <rPr>
        <sz val="11"/>
        <color theme="1"/>
        <rFont val="Calibri"/>
        <family val="2"/>
      </rPr>
      <t>Språk</t>
    </r>
  </si>
  <si>
    <r>
      <rPr>
        <sz val="11"/>
        <color theme="1"/>
        <rFont val="Calibri"/>
        <family val="2"/>
      </rPr>
      <t>PREFA TAKSYSTEM</t>
    </r>
  </si>
  <si>
    <r>
      <rPr>
        <sz val="11"/>
        <color theme="1"/>
        <rFont val="Calibri"/>
        <family val="2"/>
      </rPr>
      <t>TAKPLATTA</t>
    </r>
  </si>
  <si>
    <r>
      <rPr>
        <sz val="11"/>
        <color theme="1"/>
        <rFont val="Calibri"/>
        <family val="2"/>
      </rPr>
      <t>RETURNERING VIA FAX:</t>
    </r>
  </si>
  <si>
    <r>
      <rPr>
        <sz val="11"/>
        <color theme="1"/>
        <rFont val="Calibri"/>
        <family val="2"/>
      </rPr>
      <t>ELLER E-POST:</t>
    </r>
  </si>
  <si>
    <r>
      <rPr>
        <sz val="11"/>
        <color theme="1"/>
        <rFont val="Calibri"/>
        <family val="2"/>
      </rPr>
      <t>Datum:</t>
    </r>
  </si>
  <si>
    <r>
      <rPr>
        <sz val="11"/>
        <color theme="1"/>
        <rFont val="Calibri"/>
        <family val="2"/>
      </rPr>
      <t>Företag/beställare:</t>
    </r>
  </si>
  <si>
    <r>
      <rPr>
        <sz val="11"/>
        <color theme="1"/>
        <rFont val="Calibri"/>
        <family val="2"/>
      </rPr>
      <t>Namn:</t>
    </r>
  </si>
  <si>
    <r>
      <rPr>
        <sz val="11"/>
        <color theme="1"/>
        <rFont val="Calibri"/>
        <family val="2"/>
      </rPr>
      <t>Gatuadress:</t>
    </r>
  </si>
  <si>
    <r>
      <rPr>
        <sz val="11"/>
        <color theme="1"/>
        <rFont val="Calibri"/>
        <family val="2"/>
      </rPr>
      <t>Ort:</t>
    </r>
  </si>
  <si>
    <r>
      <rPr>
        <sz val="11"/>
        <color theme="1"/>
        <rFont val="Calibri"/>
        <family val="2"/>
      </rPr>
      <t>Kontaktperson:</t>
    </r>
  </si>
  <si>
    <r>
      <rPr>
        <sz val="11"/>
        <color theme="1"/>
        <rFont val="Calibri"/>
        <family val="2"/>
      </rPr>
      <t>Telefon:</t>
    </r>
  </si>
  <si>
    <r>
      <rPr>
        <sz val="11"/>
        <color theme="1"/>
        <rFont val="Calibri"/>
        <family val="2"/>
      </rPr>
      <t>E-post:</t>
    </r>
  </si>
  <si>
    <r>
      <rPr>
        <sz val="11"/>
        <color theme="1"/>
        <rFont val="Calibri"/>
        <family val="2"/>
      </rPr>
      <t>Leveransadress:</t>
    </r>
  </si>
  <si>
    <r>
      <rPr>
        <sz val="11"/>
        <color theme="1"/>
        <rFont val="Calibri"/>
        <family val="2"/>
      </rPr>
      <t>Kommission:</t>
    </r>
  </si>
  <si>
    <r>
      <rPr>
        <sz val="11"/>
        <color theme="1"/>
        <rFont val="Calibri"/>
        <family val="2"/>
      </rPr>
      <t>Ytbeläggning:</t>
    </r>
  </si>
  <si>
    <r>
      <rPr>
        <sz val="11"/>
        <color theme="1"/>
        <rFont val="Calibri"/>
        <family val="2"/>
      </rPr>
      <t>stuckatur</t>
    </r>
  </si>
  <si>
    <r>
      <rPr>
        <sz val="11"/>
        <color theme="1"/>
        <rFont val="Calibri"/>
        <family val="2"/>
      </rPr>
      <t>slät</t>
    </r>
  </si>
  <si>
    <r>
      <rPr>
        <sz val="11"/>
        <color theme="1"/>
        <rFont val="Calibri"/>
        <family val="2"/>
      </rPr>
      <t>Mängder i:</t>
    </r>
  </si>
  <si>
    <r>
      <rPr>
        <sz val="11"/>
        <color theme="1"/>
        <rFont val="Calibri"/>
        <family val="2"/>
      </rPr>
      <t>Förpackningsenhet</t>
    </r>
  </si>
  <si>
    <r>
      <rPr>
        <sz val="11"/>
        <color theme="1"/>
        <rFont val="Calibri"/>
        <family val="2"/>
      </rPr>
      <t>st.</t>
    </r>
  </si>
  <si>
    <r>
      <rPr>
        <sz val="11"/>
        <color theme="1"/>
        <rFont val="Calibri"/>
        <family val="2"/>
      </rPr>
      <t>Färg:</t>
    </r>
  </si>
  <si>
    <r>
      <rPr>
        <sz val="11"/>
        <color theme="1"/>
        <rFont val="Calibri"/>
        <family val="2"/>
      </rPr>
      <t>01 P.10 brun</t>
    </r>
  </si>
  <si>
    <r>
      <rPr>
        <sz val="11"/>
        <color theme="1"/>
        <rFont val="Calibri"/>
        <family val="2"/>
      </rPr>
      <t>02 P.10 antracit</t>
    </r>
  </si>
  <si>
    <r>
      <rPr>
        <sz val="11"/>
        <color theme="1"/>
        <rFont val="Calibri"/>
        <family val="2"/>
      </rPr>
      <t>03 P.10 svart</t>
    </r>
  </si>
  <si>
    <r>
      <rPr>
        <sz val="11"/>
        <color theme="1"/>
        <rFont val="Calibri"/>
        <family val="2"/>
      </rPr>
      <t>04 P.10 tegelröd</t>
    </r>
  </si>
  <si>
    <r>
      <rPr>
        <sz val="11"/>
        <color theme="1"/>
        <rFont val="Calibri"/>
        <family val="2"/>
      </rPr>
      <t>05 P.10 oxidröd</t>
    </r>
  </si>
  <si>
    <r>
      <rPr>
        <sz val="11"/>
        <color theme="1"/>
        <rFont val="Calibri"/>
        <family val="2"/>
      </rPr>
      <t>06 P.10 mossgrön</t>
    </r>
  </si>
  <si>
    <r>
      <rPr>
        <sz val="11"/>
        <color theme="1"/>
        <rFont val="Calibri"/>
        <family val="2"/>
      </rPr>
      <t xml:space="preserve">07 P.10 ljusgrå </t>
    </r>
  </si>
  <si>
    <r>
      <rPr>
        <sz val="11"/>
        <color theme="1"/>
        <rFont val="Calibri"/>
        <family val="2"/>
      </rPr>
      <t>11 P.10 nötbrun</t>
    </r>
  </si>
  <si>
    <r>
      <rPr>
        <sz val="11"/>
        <color theme="1"/>
        <rFont val="Calibri"/>
        <family val="2"/>
      </rPr>
      <t>43 P.10 stengrå</t>
    </r>
  </si>
  <si>
    <r>
      <rPr>
        <sz val="11"/>
        <color theme="1"/>
        <rFont val="Calibri"/>
        <family val="2"/>
      </rPr>
      <t>13 naturligt blank</t>
    </r>
  </si>
  <si>
    <r>
      <rPr>
        <sz val="11"/>
        <color theme="1"/>
        <rFont val="Calibri"/>
        <family val="2"/>
      </rPr>
      <t>pulverlackerade</t>
    </r>
  </si>
  <si>
    <r>
      <rPr>
        <sz val="11"/>
        <color theme="1"/>
        <rFont val="Calibri"/>
        <family val="2"/>
      </rPr>
      <t>Färg</t>
    </r>
  </si>
  <si>
    <r>
      <rPr>
        <sz val="11"/>
        <color theme="1"/>
        <rFont val="Calibri"/>
        <family val="2"/>
      </rPr>
      <t>Mängd</t>
    </r>
  </si>
  <si>
    <r>
      <rPr>
        <sz val="11"/>
        <color theme="1"/>
        <rFont val="Calibri"/>
        <family val="2"/>
      </rPr>
      <t>Enhet</t>
    </r>
  </si>
  <si>
    <r>
      <rPr>
        <sz val="11"/>
        <color theme="1"/>
        <rFont val="Calibri"/>
        <family val="2"/>
      </rPr>
      <t>Bild</t>
    </r>
  </si>
  <si>
    <r>
      <rPr>
        <sz val="11"/>
        <color theme="1"/>
        <rFont val="Calibri"/>
        <family val="2"/>
      </rPr>
      <t>Beteckning</t>
    </r>
  </si>
  <si>
    <r>
      <rPr>
        <sz val="11"/>
        <color theme="1"/>
        <rFont val="Calibri"/>
        <family val="2"/>
      </rPr>
      <t>Totalt</t>
    </r>
  </si>
  <si>
    <r>
      <rPr>
        <sz val="11"/>
        <color theme="1"/>
        <rFont val="Calibri"/>
        <family val="2"/>
      </rPr>
      <t>Eventuellt</t>
    </r>
  </si>
  <si>
    <r>
      <rPr>
        <sz val="11"/>
        <color theme="1"/>
        <rFont val="Calibri"/>
        <family val="2"/>
      </rPr>
      <t>m²</t>
    </r>
  </si>
  <si>
    <r>
      <rPr>
        <sz val="11"/>
        <color theme="1"/>
        <rFont val="Calibri"/>
        <family val="2"/>
      </rPr>
      <t>lpm</t>
    </r>
  </si>
  <si>
    <r>
      <rPr>
        <sz val="11"/>
        <color theme="1"/>
        <rFont val="Calibri"/>
        <family val="2"/>
      </rPr>
      <t>kartong</t>
    </r>
  </si>
  <si>
    <r>
      <rPr>
        <sz val="11"/>
        <color theme="1"/>
        <rFont val="Calibri"/>
        <family val="2"/>
      </rPr>
      <t>kg</t>
    </r>
  </si>
  <si>
    <r>
      <rPr>
        <sz val="11"/>
        <color theme="1"/>
        <rFont val="Calibri"/>
        <family val="2"/>
      </rPr>
      <t>paket</t>
    </r>
  </si>
  <si>
    <r>
      <rPr>
        <sz val="11"/>
        <color theme="1"/>
        <rFont val="Calibri"/>
        <family val="2"/>
      </rPr>
      <t>sats</t>
    </r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</si>
  <si>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</si>
  <si>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rullar</t>
    </r>
  </si>
  <si>
    <r>
      <rPr>
        <sz val="11"/>
        <color theme="1"/>
        <rFont val="Calibri"/>
        <family val="2"/>
      </rPr>
      <t>Kompletterande notering:</t>
    </r>
  </si>
  <si>
    <r>
      <rPr>
        <sz val="11"/>
        <color theme="1"/>
        <rFont val="Calibri"/>
        <family val="2"/>
      </rPr>
      <t>PREFA takplatta (600 x 420 mm, 40 st./kart.) inkl. räfflade spikar (28/30) och patenthäftare</t>
    </r>
  </si>
  <si>
    <r>
      <rPr>
        <sz val="11"/>
        <color theme="1"/>
        <rFont val="Calibri"/>
        <family val="2"/>
      </rPr>
      <t>PREFA kantremsa brun, förperforerad (1,806x150x1,20 mm)</t>
    </r>
  </si>
  <si>
    <r>
      <rPr>
        <sz val="11"/>
        <color theme="1"/>
        <rFont val="Calibri"/>
        <family val="2"/>
      </rPr>
      <t>PREFA kantremsa räfflad (för stegning 600 x 150 mm)</t>
    </r>
  </si>
  <si>
    <r>
      <rPr>
        <sz val="11"/>
        <color theme="1"/>
        <rFont val="Calibri"/>
        <family val="2"/>
      </rPr>
      <t>PREFA patenthäftare för takplattor och takshingel</t>
    </r>
  </si>
  <si>
    <r>
      <rPr>
        <sz val="11"/>
        <color theme="1"/>
        <rFont val="Calibri"/>
        <family val="2"/>
      </rPr>
      <t>Häftmagasin för efterladdning av Bull Tack-häftmaskin
80 st./häftmagasin, 30 magasin/kartong</t>
    </r>
  </si>
  <si>
    <r>
      <rPr>
        <sz val="11"/>
        <rFont val="Slimbach LT"/>
      </rPr>
      <t>välj</t>
    </r>
  </si>
  <si>
    <r>
      <rPr>
        <sz val="11"/>
        <rFont val="Slimbach LT"/>
      </rPr>
      <t>Mängdberäkning/vid förfrågan</t>
    </r>
  </si>
  <si>
    <r>
      <rPr>
        <sz val="11"/>
        <rFont val="Slimbach LT"/>
      </rPr>
      <t>Filter:</t>
    </r>
  </si>
  <si>
    <r>
      <rPr>
        <sz val="11"/>
        <rFont val="Slimbach LT"/>
      </rPr>
      <t>Beställning</t>
    </r>
  </si>
  <si>
    <r>
      <rPr>
        <sz val="11"/>
        <rFont val="Slimbach LT"/>
      </rPr>
      <t>Service:</t>
    </r>
  </si>
  <si>
    <r>
      <rPr>
        <sz val="11"/>
        <rFont val="Slimbach LT"/>
      </rPr>
      <t>Tack för din mängdberäkning</t>
    </r>
  </si>
  <si>
    <r>
      <rPr>
        <sz val="11"/>
        <rFont val="Slimbach LT"/>
      </rPr>
      <t>Tack för din beställning</t>
    </r>
  </si>
  <si>
    <r>
      <rPr>
        <sz val="11"/>
        <rFont val="Slimbach LT"/>
      </rPr>
      <t>PREFA räfflad spik förzinkad</t>
    </r>
  </si>
  <si>
    <r>
      <rPr>
        <sz val="11"/>
        <rFont val="Slimbach LT"/>
      </rPr>
      <t>28/25 (1 kg = cirka 570 st.)</t>
    </r>
  </si>
  <si>
    <r>
      <rPr>
        <sz val="11"/>
        <rFont val="Slimbach LT"/>
      </rPr>
      <t>28/30 (1 kg = cirka 480 st.)</t>
    </r>
  </si>
  <si>
    <r>
      <rPr>
        <sz val="11"/>
        <rFont val="Slimbach LT"/>
      </rPr>
      <t>28/40 (1 kg = cirka 380 st.)</t>
    </r>
  </si>
  <si>
    <r>
      <rPr>
        <sz val="11"/>
        <rFont val="Slimbach LT"/>
      </rPr>
      <t>Spikar för Bull Tack Power-häftmaskin</t>
    </r>
  </si>
  <si>
    <r>
      <rPr>
        <sz val="11"/>
        <rFont val="Slimbach LT"/>
      </rPr>
      <t>Längd 26 mm (3.200 st./kartong)</t>
    </r>
  </si>
  <si>
    <r>
      <rPr>
        <sz val="11"/>
        <rFont val="Slimbach LT"/>
      </rPr>
      <t>Längd 35 mm (2.400 st./kartong)</t>
    </r>
  </si>
  <si>
    <r>
      <rPr>
        <sz val="11"/>
        <rFont val="Slimbach LT"/>
      </rPr>
      <t>Längd 26 mm (3.200 st./kartong) NIRO</t>
    </r>
  </si>
  <si>
    <r>
      <rPr>
        <sz val="11"/>
        <color theme="1"/>
        <rFont val="Arial"/>
        <family val="2"/>
      </rPr>
      <t>PREFA inloppsplåt slät 230 × 2.000 × 0,7 mm</t>
    </r>
  </si>
  <si>
    <r>
      <rPr>
        <sz val="11"/>
        <color theme="1"/>
        <rFont val="Arial"/>
        <family val="2"/>
      </rPr>
      <t>PREFA ventilationsplåt</t>
    </r>
  </si>
  <si>
    <r>
      <rPr>
        <sz val="11"/>
        <rFont val="Slimbach LT"/>
      </rPr>
      <t>1x250 (A = 140 B = 85 C = 25 mm)</t>
    </r>
  </si>
  <si>
    <r>
      <rPr>
        <sz val="11"/>
        <rFont val="Slimbach LT"/>
      </rPr>
      <t>1x333 (A = 223 B = 85 C = 25 mm)</t>
    </r>
  </si>
  <si>
    <r>
      <rPr>
        <sz val="11"/>
        <color theme="1"/>
        <rFont val="Arial"/>
        <family val="2"/>
      </rPr>
      <t>PREFA fågelskyddsgaller brunt/antracit (125 x 2.000 x 0,7 mm)</t>
    </r>
  </si>
  <si>
    <r>
      <rPr>
        <sz val="11"/>
        <color theme="1"/>
        <rFont val="Arial"/>
        <family val="2"/>
      </rPr>
      <t>PREFA gavelremsa (95 x 2.000 x 0,70 mm)</t>
    </r>
  </si>
  <si>
    <r>
      <rPr>
        <sz val="11"/>
        <color theme="1"/>
        <rFont val="Arial"/>
        <family val="2"/>
      </rPr>
      <t>PREFA säkerhetskäl stuckatur (3.000 mm lång)</t>
    </r>
  </si>
  <si>
    <r>
      <rPr>
        <sz val="11"/>
        <color theme="1"/>
        <rFont val="Arial"/>
        <family val="2"/>
      </rPr>
      <t>PREFA nockpanna 500 x 1,00 mm stuckatur inkl. Niro-skruv 4,5 x 45 mm och tätningsbricka</t>
    </r>
  </si>
  <si>
    <r>
      <rPr>
        <sz val="11"/>
        <color theme="1"/>
        <rFont val="Arial"/>
        <family val="2"/>
      </rPr>
      <t>PREFA nockpanna, start-/ändstycke stuckatur</t>
    </r>
  </si>
  <si>
    <r>
      <rPr>
        <sz val="11"/>
        <color theme="1"/>
        <rFont val="Arial"/>
        <family val="2"/>
      </rPr>
      <t>PREFA Jet-ventilation stuckatur (1.200 mm) inkl. Niro-skruv och tätningsbricka</t>
    </r>
  </si>
  <si>
    <r>
      <rPr>
        <sz val="11"/>
        <color theme="1"/>
        <rFont val="Arial"/>
        <family val="2"/>
      </rPr>
      <t>PREFA Jet-ventilation stuckatur (3.000 mm) inkl. Niro-skruv och tätningsbricka</t>
    </r>
  </si>
  <si>
    <r>
      <rPr>
        <sz val="11"/>
        <color theme="1"/>
        <rFont val="Arial"/>
        <family val="2"/>
      </rPr>
      <t>PREFA Jet-ventilation ändstycke stuckatur</t>
    </r>
  </si>
  <si>
    <r>
      <rPr>
        <sz val="11"/>
        <color theme="1"/>
        <rFont val="Arial"/>
        <family val="2"/>
      </rPr>
      <t>Niro-skruv med tätningsbricka för nockpanna</t>
    </r>
  </si>
  <si>
    <r>
      <rPr>
        <sz val="11"/>
        <color theme="1"/>
        <rFont val="Arial"/>
        <family val="2"/>
      </rPr>
      <t>Niro-skruv med tätningsbricka för Jet-ventilation</t>
    </r>
  </si>
  <si>
    <r>
      <rPr>
        <sz val="11"/>
        <rFont val="Slimbach LT"/>
      </rPr>
      <t>(4,5 x 45 mm, 250 st./paket)</t>
    </r>
  </si>
  <si>
    <r>
      <rPr>
        <sz val="11"/>
        <rFont val="Slimbach LT"/>
      </rPr>
      <t>(4,5 x 45 mm, 250 st./paket, blank)</t>
    </r>
  </si>
  <si>
    <r>
      <rPr>
        <sz val="11"/>
        <rFont val="Slimbach LT"/>
      </rPr>
      <t>(4,5 x 60 mm, 100 st./paket)</t>
    </r>
  </si>
  <si>
    <r>
      <rPr>
        <sz val="11"/>
        <rFont val="Slimbach LT"/>
      </rPr>
      <t>(4,5 x 60 mm, 100 st./paket, blank)</t>
    </r>
  </si>
  <si>
    <r>
      <rPr>
        <sz val="11"/>
        <color theme="1"/>
        <rFont val="Arial"/>
        <family val="2"/>
      </rPr>
      <t>PREFA halvmåneformad kåpa för nitning (slät) ventilationstvärsnitt cirka 30 cm²</t>
    </r>
  </si>
  <si>
    <r>
      <rPr>
        <sz val="11"/>
        <color theme="1"/>
        <rFont val="Arial"/>
        <family val="2"/>
      </rPr>
      <t>PREFA halvmåneformad kåpa för takplatta 300 x 420 mm ventilationstvärsnitt cirka 30 cm²</t>
    </r>
  </si>
  <si>
    <r>
      <rPr>
        <sz val="11"/>
        <color theme="1"/>
        <rFont val="Arial"/>
        <family val="2"/>
      </rPr>
      <t>PREFA taklucka (600 x 600 mm) komplett med träram</t>
    </r>
  </si>
  <si>
    <r>
      <rPr>
        <sz val="11"/>
        <color theme="1"/>
        <rFont val="Arial"/>
        <family val="2"/>
      </rPr>
      <t>PREFA infattning för Velux-takfönster stuckatur</t>
    </r>
  </si>
  <si>
    <r>
      <rPr>
        <sz val="11"/>
        <color theme="1"/>
        <rFont val="Arial"/>
        <family val="2"/>
      </rPr>
      <t>PREFA infattning för Roto-takfönster stuckatur</t>
    </r>
  </si>
  <si>
    <r>
      <rPr>
        <sz val="11"/>
        <color theme="1"/>
        <rFont val="Arial"/>
        <family val="2"/>
      </rPr>
      <t>PREFA separat fotsteg inkl. två understycken</t>
    </r>
  </si>
  <si>
    <r>
      <rPr>
        <sz val="11"/>
        <color theme="1"/>
        <rFont val="Arial"/>
        <family val="2"/>
      </rPr>
      <t>PREFA plattformsstöd förzinkat för plattformar</t>
    </r>
  </si>
  <si>
    <r>
      <rPr>
        <sz val="11"/>
        <color theme="1"/>
        <rFont val="Arial"/>
        <family val="2"/>
      </rPr>
      <t>PREFA plattform (250 x 1.200 mm)</t>
    </r>
  </si>
  <si>
    <r>
      <rPr>
        <sz val="11"/>
        <color theme="1"/>
        <rFont val="Arial"/>
        <family val="2"/>
      </rPr>
      <t>PREFA plattform (250 x 800 mm)</t>
    </r>
  </si>
  <si>
    <r>
      <rPr>
        <sz val="11"/>
        <color theme="1"/>
        <rFont val="Arial"/>
        <family val="2"/>
      </rPr>
      <t>PREFA plattform (250 x 600 mm)</t>
    </r>
  </si>
  <si>
    <r>
      <rPr>
        <sz val="11"/>
        <color theme="1"/>
        <rFont val="Arial"/>
        <family val="2"/>
      </rPr>
      <t>PREFA plattform (250 x 420 mm)</t>
    </r>
  </si>
  <si>
    <r>
      <rPr>
        <sz val="11"/>
        <color theme="1"/>
        <rFont val="Arial"/>
        <family val="2"/>
      </rPr>
      <t>PREFALZ extrabeslag</t>
    </r>
  </si>
  <si>
    <r>
      <rPr>
        <sz val="11"/>
        <rFont val="Slimbach LT"/>
      </rPr>
      <t>0,7 x 500 mm</t>
    </r>
  </si>
  <si>
    <r>
      <rPr>
        <sz val="11"/>
        <rFont val="Slimbach LT"/>
      </rPr>
      <t>0,7 x 650 mm</t>
    </r>
  </si>
  <si>
    <r>
      <rPr>
        <sz val="11"/>
        <rFont val="Slimbach LT"/>
      </rPr>
      <t>0,7 x 1.000 mm</t>
    </r>
  </si>
  <si>
    <r>
      <rPr>
        <sz val="11"/>
        <color theme="1"/>
        <rFont val="Arial"/>
        <family val="2"/>
      </rPr>
      <t>PREFA anslutning förzinkat för plattform</t>
    </r>
  </si>
  <si>
    <r>
      <rPr>
        <sz val="11"/>
        <color theme="1"/>
        <rFont val="Arial"/>
        <family val="2"/>
      </rPr>
      <t>PREFA säkerhetstakkrokar enligt EN 517B på understycken</t>
    </r>
  </si>
  <si>
    <r>
      <rPr>
        <sz val="11"/>
        <color theme="1"/>
        <rFont val="Arial"/>
        <family val="2"/>
      </rPr>
      <t>PREFA säkerhetstakkrokar enligt EN 517B</t>
    </r>
  </si>
  <si>
    <r>
      <rPr>
        <sz val="11"/>
        <color theme="1"/>
        <rFont val="Arial"/>
        <family val="2"/>
      </rPr>
      <t>PREFA infattningsplatta för takplatta, slät, Ø 80-125 mm</t>
    </r>
  </si>
  <si>
    <r>
      <rPr>
        <sz val="11"/>
        <color theme="1"/>
        <rFont val="Arial"/>
        <family val="2"/>
      </rPr>
      <t>PREFA universalinfattning i två delar, slät, Ø 40-120 mm</t>
    </r>
  </si>
  <si>
    <r>
      <rPr>
        <sz val="11"/>
        <rFont val="Slimbach LT"/>
      </rPr>
      <t>MED värmeisolering</t>
    </r>
  </si>
  <si>
    <r>
      <rPr>
        <sz val="11"/>
        <rFont val="Slimbach LT"/>
      </rPr>
      <t>UTAN värmeisolering</t>
    </r>
  </si>
  <si>
    <r>
      <rPr>
        <sz val="11"/>
        <rFont val="Slimbach LT"/>
      </rPr>
      <t>Mått:</t>
    </r>
  </si>
  <si>
    <r>
      <rPr>
        <sz val="11"/>
        <rFont val="Slimbach LT"/>
      </rPr>
      <t>mossgrön/ljusgrå</t>
    </r>
  </si>
  <si>
    <r>
      <rPr>
        <sz val="11"/>
        <rFont val="Slimbach LT"/>
      </rPr>
      <t>brun/antracit</t>
    </r>
  </si>
  <si>
    <r>
      <rPr>
        <sz val="11"/>
        <rFont val="Slimbach LT"/>
      </rPr>
      <t>tegelröd/oxidröd</t>
    </r>
  </si>
  <si>
    <r>
      <rPr>
        <sz val="11"/>
        <rFont val="Slimbach LT"/>
      </rPr>
      <t>prefavit/prefavit</t>
    </r>
  </si>
  <si>
    <r>
      <rPr>
        <sz val="11"/>
        <color theme="1"/>
        <rFont val="Arial"/>
        <family val="2"/>
      </rPr>
      <t>PREFA ventilationskåpa Ø 100, slät</t>
    </r>
  </si>
  <si>
    <r>
      <rPr>
        <sz val="11"/>
        <color theme="1"/>
        <rFont val="Arial"/>
        <family val="2"/>
      </rPr>
      <t>PREFA ventilationsrör ⌀ 100, lämpligt för HT-rör NV 110</t>
    </r>
  </si>
  <si>
    <r>
      <rPr>
        <sz val="11"/>
        <color theme="1"/>
        <rFont val="Arial"/>
        <family val="2"/>
      </rPr>
      <t>PREFA ventilationsrör ⌀ 120, lämpligt för HT-rör NV 125</t>
    </r>
  </si>
  <si>
    <r>
      <rPr>
        <sz val="11"/>
        <color theme="1"/>
        <rFont val="Arial"/>
        <family val="2"/>
      </rPr>
      <t>PREFA fallmanschett Ø 100-130</t>
    </r>
  </si>
  <si>
    <r>
      <rPr>
        <sz val="11"/>
        <color theme="1"/>
        <rFont val="Arial"/>
        <family val="2"/>
      </rPr>
      <t>PREFA underlagsskiva L = 660 x B = 125 mm, stuckatur</t>
    </r>
  </si>
  <si>
    <r>
      <rPr>
        <sz val="11"/>
        <color theme="1"/>
        <rFont val="Arial"/>
        <family val="2"/>
      </rPr>
      <t>PREFA underlagsskiva L = 540 x B = 125 mm, stuckatur</t>
    </r>
  </si>
  <si>
    <r>
      <rPr>
        <sz val="11"/>
        <color theme="1"/>
        <rFont val="Arial"/>
        <family val="2"/>
      </rPr>
      <t>PREFA snöstoppare för takplatta och TAKROMB 29 x 29</t>
    </r>
  </si>
  <si>
    <r>
      <rPr>
        <sz val="11"/>
        <color theme="1"/>
        <rFont val="Arial"/>
        <family val="2"/>
      </rPr>
      <t>PREFA konsol för snöräcke</t>
    </r>
  </si>
  <si>
    <r>
      <rPr>
        <sz val="11"/>
        <color theme="1"/>
        <rFont val="Arial"/>
        <family val="2"/>
      </rPr>
      <t>PREFA rundstång (15 Ø x 3.000 mm) för konsol för snöräcke</t>
    </r>
  </si>
  <si>
    <r>
      <rPr>
        <sz val="11"/>
        <color theme="1"/>
        <rFont val="Arial"/>
        <family val="2"/>
      </rPr>
      <t>PREFA Slutstycke för snöräcke</t>
    </r>
  </si>
  <si>
    <r>
      <rPr>
        <sz val="11"/>
        <color theme="1"/>
        <rFont val="Arial"/>
        <family val="2"/>
      </rPr>
      <t>PREFA snöräckessystem (205 x 66 x 303 mm)</t>
    </r>
  </si>
  <si>
    <r>
      <rPr>
        <sz val="11"/>
        <color theme="1"/>
        <rFont val="Arial"/>
        <family val="2"/>
      </rPr>
      <t>PREFA snöräckessystem inläggningsprofil (3.000 mm)</t>
    </r>
  </si>
  <si>
    <r>
      <rPr>
        <sz val="11"/>
        <color theme="1"/>
        <rFont val="Arial"/>
        <family val="2"/>
      </rPr>
      <t>PREFA snöräckessystem isklo</t>
    </r>
  </si>
  <si>
    <r>
      <rPr>
        <sz val="11"/>
        <color theme="1"/>
        <rFont val="Arial"/>
        <family val="2"/>
      </rPr>
      <t>PREFA snöräckessystem slutstycke</t>
    </r>
  </si>
  <si>
    <r>
      <rPr>
        <sz val="11"/>
        <color theme="1"/>
        <rFont val="Arial"/>
        <family val="2"/>
      </rPr>
      <t>PREFA snöstoppsstötta</t>
    </r>
  </si>
  <si>
    <r>
      <rPr>
        <sz val="11"/>
        <color theme="1"/>
        <rFont val="Arial"/>
        <family val="2"/>
      </rPr>
      <t>PREFA skorstenshuv 700 x 700 mm</t>
    </r>
  </si>
  <si>
    <r>
      <rPr>
        <sz val="11"/>
        <color theme="1"/>
        <rFont val="Arial"/>
        <family val="2"/>
      </rPr>
      <t>PREFA skorstenshuv 800 x 800 mm</t>
    </r>
  </si>
  <si>
    <r>
      <rPr>
        <sz val="11"/>
        <color theme="1"/>
        <rFont val="Arial"/>
        <family val="2"/>
      </rPr>
      <t>PREFA skorstenshuv 1.000 x 700 mm</t>
    </r>
  </si>
  <si>
    <r>
      <rPr>
        <sz val="11"/>
        <color theme="1"/>
        <rFont val="Arial"/>
        <family val="2"/>
      </rPr>
      <t>PREFA skorstenshuv 1 100 x 800 mm</t>
    </r>
  </si>
  <si>
    <r>
      <rPr>
        <sz val="11"/>
        <color theme="1"/>
        <rFont val="Arial"/>
        <family val="2"/>
      </rPr>
      <t>PREFA skorstenshuv 1.500 x 800 mm</t>
    </r>
  </si>
  <si>
    <r>
      <rPr>
        <sz val="11"/>
        <color theme="1"/>
        <rFont val="Arial"/>
        <family val="2"/>
      </rPr>
      <t>Skorstensstötta, böjd</t>
    </r>
  </si>
  <si>
    <r>
      <rPr>
        <sz val="11"/>
        <color theme="1"/>
        <rFont val="Arial"/>
        <family val="2"/>
      </rPr>
      <t>PREFA platt profil (35 x 7 x 3.000 mm)</t>
    </r>
  </si>
  <si>
    <r>
      <rPr>
        <sz val="11"/>
        <color theme="1"/>
        <rFont val="Arial"/>
        <family val="2"/>
      </rPr>
      <t>PREFA täckkåpa, för täckning av fästmedel</t>
    </r>
  </si>
  <si>
    <r>
      <rPr>
        <sz val="11"/>
        <color theme="1"/>
        <rFont val="Arial"/>
        <family val="2"/>
      </rPr>
      <t>PREFA silikonpatron</t>
    </r>
  </si>
  <si>
    <r>
      <rPr>
        <sz val="11"/>
        <color theme="1"/>
        <rFont val="Arial"/>
        <family val="2"/>
      </rPr>
      <t>PREFA speciallimsats</t>
    </r>
  </si>
  <si>
    <r>
      <rPr>
        <sz val="11"/>
        <color theme="1"/>
        <rFont val="Arial"/>
        <family val="2"/>
      </rPr>
      <t>PREFA spårjärn</t>
    </r>
  </si>
  <si>
    <r>
      <rPr>
        <sz val="11"/>
        <color theme="1"/>
        <rFont val="Arial"/>
        <family val="2"/>
      </rPr>
      <t>PREFA spännjärn</t>
    </r>
  </si>
  <si>
    <r>
      <rPr>
        <sz val="11"/>
        <color theme="1"/>
        <rFont val="Arial"/>
        <family val="2"/>
      </rPr>
      <t>PREFA hålplåt DM 5 mm
cirka 24kg/rulle (0,7 x 1.000 mm)</t>
    </r>
  </si>
  <si>
    <r>
      <rPr>
        <sz val="11"/>
        <color theme="1"/>
        <rFont val="Calibri"/>
        <family val="2"/>
      </rPr>
      <t>Extrabeslag 1,0 x 1.000 mm (endast för kantremsor)</t>
    </r>
  </si>
  <si>
    <r>
      <rPr>
        <sz val="11"/>
        <rFont val="Slimbach LT"/>
      </rPr>
      <t>ljusgrå/ljusgrå</t>
    </r>
  </si>
  <si>
    <r>
      <rPr>
        <sz val="11"/>
        <color theme="1"/>
        <rFont val="Arial"/>
        <family val="2"/>
      </rPr>
      <t>Användningsteknik</t>
    </r>
  </si>
  <si>
    <r>
      <rPr>
        <sz val="11"/>
        <color theme="1"/>
        <rFont val="Calibri"/>
        <family val="2"/>
      </rPr>
      <t>Uppdaterad:</t>
    </r>
  </si>
  <si>
    <r>
      <rPr>
        <sz val="11"/>
        <color theme="1"/>
        <rFont val="Calibri"/>
        <family val="2"/>
      </rPr>
      <t>PREFALZ extrabeslag 1,0 x 1.000 mm (endast för kantremsor)</t>
    </r>
  </si>
  <si>
    <r>
      <rPr>
        <sz val="11"/>
        <color theme="1"/>
        <rFont val="Calibri"/>
        <family val="2"/>
      </rPr>
      <t>PREFALZ extrabeslag 0,7 x 1.000 mm (för kompletterande plåtarbeten)</t>
    </r>
  </si>
  <si>
    <r>
      <rPr>
        <sz val="11"/>
        <color theme="1"/>
        <rFont val="Calibri"/>
        <family val="2"/>
      </rPr>
      <t>12 silvermetallic</t>
    </r>
  </si>
  <si>
    <r>
      <rPr>
        <sz val="11"/>
        <color theme="1"/>
        <rFont val="Calibri"/>
        <family val="2"/>
      </rPr>
      <t>0,75 l-burk</t>
    </r>
  </si>
  <si>
    <r>
      <rPr>
        <sz val="11"/>
        <color theme="1"/>
        <rFont val="Calibri"/>
        <family val="2"/>
      </rPr>
      <t>1.500 mm</t>
    </r>
  </si>
  <si>
    <r>
      <rPr>
        <sz val="11"/>
        <color theme="1"/>
        <rFont val="Calibri"/>
        <family val="2"/>
      </rPr>
      <t>1: Välj önskad produkt genom att klicka på fliken.</t>
    </r>
  </si>
  <si>
    <r>
      <rPr>
        <sz val="11"/>
        <color theme="1"/>
        <rFont val="Calibri"/>
        <family val="2"/>
      </rPr>
      <t>100-160 mm</t>
    </r>
  </si>
  <si>
    <r>
      <rPr>
        <sz val="11"/>
        <color theme="1"/>
        <rFont val="Calibri"/>
        <family val="2"/>
      </rPr>
      <t>100-180 mm</t>
    </r>
  </si>
  <si>
    <r>
      <rPr>
        <sz val="11"/>
        <color theme="1"/>
        <rFont val="Calibri"/>
        <family val="2"/>
      </rPr>
      <t>100 ⌀</t>
    </r>
  </si>
  <si>
    <r>
      <rPr>
        <sz val="11"/>
        <color theme="1"/>
        <rFont val="Calibri"/>
        <family val="2"/>
      </rPr>
      <t>100 ⌀ 700-1.100 mm</t>
    </r>
  </si>
  <si>
    <r>
      <rPr>
        <sz val="11"/>
        <color theme="1"/>
        <rFont val="Calibri"/>
        <family val="2"/>
      </rPr>
      <t>100 ⌀ × 1.450 mm</t>
    </r>
  </si>
  <si>
    <r>
      <rPr>
        <sz val="11"/>
        <color theme="1"/>
        <rFont val="Calibri"/>
        <family val="2"/>
      </rPr>
      <t>100 × ⌀ 50-75 mm</t>
    </r>
  </si>
  <si>
    <r>
      <rPr>
        <sz val="11"/>
        <color theme="1"/>
        <rFont val="Calibri"/>
        <family val="2"/>
      </rPr>
      <t>120 ⌀</t>
    </r>
  </si>
  <si>
    <r>
      <rPr>
        <sz val="11"/>
        <color theme="1"/>
        <rFont val="Calibri"/>
        <family val="2"/>
      </rPr>
      <t>140 mm</t>
    </r>
  </si>
  <si>
    <r>
      <rPr>
        <sz val="11"/>
        <color theme="1"/>
        <rFont val="Calibri"/>
        <family val="2"/>
      </rPr>
      <t>150 ⌀</t>
    </r>
  </si>
  <si>
    <r>
      <rPr>
        <sz val="11"/>
        <color theme="1"/>
        <rFont val="Calibri"/>
        <family val="2"/>
      </rPr>
      <t>180-220 mm</t>
    </r>
  </si>
  <si>
    <r>
      <rPr>
        <sz val="11"/>
        <color theme="1"/>
        <rFont val="Calibri"/>
        <family val="2"/>
      </rPr>
      <t>180-260 mm</t>
    </r>
  </si>
  <si>
    <r>
      <rPr>
        <sz val="11"/>
        <color theme="1"/>
        <rFont val="Calibri"/>
        <family val="2"/>
      </rPr>
      <t>195 mm lång</t>
    </r>
  </si>
  <si>
    <r>
      <rPr>
        <sz val="11"/>
        <color theme="1"/>
        <rFont val="Calibri"/>
        <family val="2"/>
      </rPr>
      <t>2: Samtliga fält som är gråmarkerade kan fyllas i eller är markerade med en fördefinierad urvalslista.</t>
    </r>
  </si>
  <si>
    <r>
      <rPr>
        <sz val="11"/>
        <color theme="1"/>
        <rFont val="Calibri"/>
        <family val="2"/>
      </rPr>
      <t>200 mm</t>
    </r>
  </si>
  <si>
    <r>
      <rPr>
        <sz val="11"/>
        <color theme="1"/>
        <rFont val="Calibri"/>
        <family val="2"/>
      </rPr>
      <t>230 × 2.000 × 0,7 mm</t>
    </r>
  </si>
  <si>
    <r>
      <rPr>
        <sz val="11"/>
        <color theme="1"/>
        <rFont val="Calibri"/>
        <family val="2"/>
      </rPr>
      <t>250 g</t>
    </r>
  </si>
  <si>
    <r>
      <rPr>
        <sz val="11"/>
        <color theme="1"/>
        <rFont val="Calibri"/>
        <family val="2"/>
      </rPr>
      <t>250/23 × 7</t>
    </r>
  </si>
  <si>
    <r>
      <rPr>
        <sz val="11"/>
        <color theme="1"/>
        <rFont val="Calibri"/>
        <family val="2"/>
      </rPr>
      <t>28 × 7 mm</t>
    </r>
  </si>
  <si>
    <r>
      <rPr>
        <sz val="11"/>
        <color theme="1"/>
        <rFont val="Calibri"/>
        <family val="2"/>
      </rPr>
      <t>290 ml räcker till cirka 4 lpm.</t>
    </r>
  </si>
  <si>
    <r>
      <rPr>
        <sz val="11"/>
        <color theme="1"/>
        <rFont val="Calibri"/>
        <family val="2"/>
      </rPr>
      <t>3 m</t>
    </r>
  </si>
  <si>
    <r>
      <rPr>
        <sz val="11"/>
        <color theme="1"/>
        <rFont val="Calibri"/>
        <family val="2"/>
      </rPr>
      <t>3.000 mm</t>
    </r>
  </si>
  <si>
    <r>
      <rPr>
        <sz val="11"/>
        <color theme="1"/>
        <rFont val="Calibri"/>
        <family val="2"/>
      </rPr>
      <t>3: Samtliga alternativfält kan väljas.</t>
    </r>
  </si>
  <si>
    <r>
      <rPr>
        <sz val="11"/>
        <color theme="1"/>
        <rFont val="Calibri"/>
        <family val="2"/>
      </rPr>
      <t>300 ml</t>
    </r>
  </si>
  <si>
    <r>
      <rPr>
        <sz val="11"/>
        <color theme="1"/>
        <rFont val="Calibri"/>
        <family val="2"/>
      </rPr>
      <t>330 mm</t>
    </r>
  </si>
  <si>
    <r>
      <rPr>
        <sz val="11"/>
        <color theme="1"/>
        <rFont val="Calibri"/>
        <family val="2"/>
      </rPr>
      <t>333 mm/100 × 100 mm</t>
    </r>
  </si>
  <si>
    <r>
      <rPr>
        <sz val="11"/>
        <color theme="1"/>
        <rFont val="Calibri"/>
        <family val="2"/>
      </rPr>
      <t>333/28 × 7</t>
    </r>
  </si>
  <si>
    <r>
      <rPr>
        <sz val="11"/>
        <color theme="1"/>
        <rFont val="Calibri"/>
        <family val="2"/>
      </rPr>
      <t>4 × 9,5 mm</t>
    </r>
  </si>
  <si>
    <r>
      <rPr>
        <sz val="11"/>
        <color theme="1"/>
        <rFont val="Calibri"/>
        <family val="2"/>
      </rPr>
      <t>4 × 25 × 370 mm</t>
    </r>
  </si>
  <si>
    <r>
      <rPr>
        <sz val="11"/>
        <color theme="1"/>
        <rFont val="Calibri"/>
        <family val="2"/>
      </rPr>
      <t>4,8 × 17 mm</t>
    </r>
  </si>
  <si>
    <r>
      <rPr>
        <sz val="11"/>
        <color theme="1"/>
        <rFont val="Calibri"/>
        <family val="2"/>
      </rPr>
      <t>4: Om pulverlackerat har valts som färg visas ytterligare ett inmatningsfält för lackeringsfärgen.</t>
    </r>
  </si>
  <si>
    <r>
      <rPr>
        <sz val="11"/>
        <color theme="1"/>
        <rFont val="Calibri"/>
        <family val="2"/>
      </rPr>
      <t>400 mm/100 × 100 mm</t>
    </r>
  </si>
  <si>
    <r>
      <rPr>
        <sz val="11"/>
        <color theme="1"/>
        <rFont val="Calibri"/>
        <family val="2"/>
      </rPr>
      <t>400/30 × 7</t>
    </r>
  </si>
  <si>
    <r>
      <rPr>
        <sz val="11"/>
        <color theme="1"/>
        <rFont val="Calibri"/>
        <family val="2"/>
      </rPr>
      <t>5,0 × 80 mm</t>
    </r>
  </si>
  <si>
    <r>
      <rPr>
        <sz val="11"/>
        <color theme="1"/>
        <rFont val="Calibri"/>
        <family val="2"/>
      </rPr>
      <t>4: Mängderna kan efter önskemål beräknas styckevis (st.) eller rundas av till nästa förpackningsenhet (FPE).</t>
    </r>
  </si>
  <si>
    <r>
      <rPr>
        <sz val="11"/>
        <color theme="1"/>
        <rFont val="Calibri"/>
        <family val="2"/>
      </rPr>
      <t>50 ml-burk med pensel</t>
    </r>
  </si>
  <si>
    <r>
      <rPr>
        <sz val="11"/>
        <color theme="1"/>
        <rFont val="Calibri"/>
        <family val="2"/>
      </rPr>
      <t>500/35 × 7</t>
    </r>
  </si>
  <si>
    <r>
      <rPr>
        <sz val="11"/>
        <color theme="1"/>
        <rFont val="Calibri"/>
        <family val="2"/>
      </rPr>
      <t>6 m</t>
    </r>
  </si>
  <si>
    <r>
      <rPr>
        <sz val="11"/>
        <color theme="1"/>
        <rFont val="Calibri"/>
        <family val="2"/>
      </rPr>
      <t>6.000 × 375 mm</t>
    </r>
  </si>
  <si>
    <r>
      <rPr>
        <sz val="11"/>
        <color theme="1"/>
        <rFont val="Calibri"/>
        <family val="2"/>
      </rPr>
      <t>4: Eventuella positioner kan noteras här.</t>
    </r>
  </si>
  <si>
    <r>
      <rPr>
        <sz val="11"/>
        <color theme="1"/>
        <rFont val="Calibri"/>
        <family val="2"/>
      </rPr>
      <t>60 mm utladdning</t>
    </r>
  </si>
  <si>
    <r>
      <rPr>
        <sz val="11"/>
        <color theme="1"/>
        <rFont val="Calibri"/>
        <family val="2"/>
      </rPr>
      <t>60 ⌀</t>
    </r>
  </si>
  <si>
    <r>
      <rPr>
        <sz val="11"/>
        <color theme="1"/>
        <rFont val="Calibri"/>
        <family val="2"/>
      </rPr>
      <t>60 ⌀ × 3.000 mm</t>
    </r>
  </si>
  <si>
    <r>
      <rPr>
        <sz val="11"/>
        <color theme="1"/>
        <rFont val="Calibri"/>
        <family val="2"/>
      </rPr>
      <t>5: I slutet av tabellen kan artiklar som inte finns i listan noteras.</t>
    </r>
  </si>
  <si>
    <r>
      <rPr>
        <sz val="11"/>
        <color theme="1"/>
        <rFont val="Calibri"/>
        <family val="2"/>
      </rPr>
      <t>700 × 1,0 mm</t>
    </r>
  </si>
  <si>
    <r>
      <rPr>
        <sz val="11"/>
        <color theme="1"/>
        <rFont val="Calibri"/>
        <family val="2"/>
      </rPr>
      <t>6: Kompletterande noteringar kan bifogas här.</t>
    </r>
  </si>
  <si>
    <r>
      <rPr>
        <sz val="11"/>
        <color theme="1"/>
        <rFont val="Calibri"/>
        <family val="2"/>
      </rPr>
      <t>80 ⌀</t>
    </r>
  </si>
  <si>
    <r>
      <rPr>
        <sz val="11"/>
        <color theme="1"/>
        <rFont val="Calibri"/>
        <family val="2"/>
      </rPr>
      <t>7: Ej nödvändiga positioner kan döljas genom filtret.</t>
    </r>
  </si>
  <si>
    <r>
      <rPr>
        <sz val="11"/>
        <color theme="1"/>
        <rFont val="Calibri"/>
        <family val="2"/>
      </rPr>
      <t>Avrinningsdimension:</t>
    </r>
  </si>
  <si>
    <r>
      <rPr>
        <sz val="11"/>
        <color theme="1"/>
        <rFont val="Calibri"/>
        <family val="2"/>
      </rPr>
      <t>02 antracit</t>
    </r>
  </si>
  <si>
    <r>
      <rPr>
        <sz val="11"/>
        <color theme="1"/>
        <rFont val="Calibri"/>
        <family val="2"/>
      </rPr>
      <t>Bruksanvisning</t>
    </r>
  </si>
  <si>
    <r>
      <rPr>
        <sz val="11"/>
        <color theme="1"/>
        <rFont val="Calibri"/>
        <family val="2"/>
      </rPr>
      <t>01 brun</t>
    </r>
  </si>
  <si>
    <r>
      <rPr>
        <sz val="11"/>
        <color theme="1"/>
        <rFont val="Calibri"/>
        <family val="2"/>
      </rPr>
      <t>TAKDRÄNERING</t>
    </r>
  </si>
  <si>
    <r>
      <rPr>
        <sz val="11"/>
        <color theme="1"/>
        <rFont val="Calibri"/>
        <family val="2"/>
      </rPr>
      <t>TAKPANEL FX.12</t>
    </r>
  </si>
  <si>
    <r>
      <rPr>
        <sz val="11"/>
        <color theme="1"/>
        <rFont val="Calibri"/>
        <family val="2"/>
      </rPr>
      <t>TAKPLATTA R.16</t>
    </r>
  </si>
  <si>
    <r>
      <rPr>
        <sz val="11"/>
        <color theme="1"/>
        <rFont val="Calibri"/>
        <family val="2"/>
      </rPr>
      <t>TAKROMB 29 × 29</t>
    </r>
  </si>
  <si>
    <r>
      <rPr>
        <sz val="11"/>
        <color theme="1"/>
        <rFont val="Calibri"/>
        <family val="2"/>
      </rPr>
      <t>TAKROMB 44 × 44</t>
    </r>
  </si>
  <si>
    <r>
      <rPr>
        <sz val="11"/>
        <color theme="1"/>
        <rFont val="Calibri"/>
        <family val="2"/>
      </rPr>
      <t>TAKSHINGEL</t>
    </r>
  </si>
  <si>
    <r>
      <rPr>
        <sz val="11"/>
        <color theme="1"/>
        <rFont val="Calibri"/>
        <family val="2"/>
      </rPr>
      <t>Dimensionen inte möjlig</t>
    </r>
  </si>
  <si>
    <r>
      <rPr>
        <sz val="11"/>
        <color theme="1"/>
        <rFont val="Calibri"/>
        <family val="2"/>
      </rPr>
      <t>Välj dimension:</t>
    </r>
  </si>
  <si>
    <r>
      <rPr>
        <sz val="11"/>
        <color theme="1"/>
        <rFont val="Calibri"/>
        <family val="2"/>
      </rPr>
      <t>07 ljusgrå</t>
    </r>
  </si>
  <si>
    <r>
      <rPr>
        <sz val="11"/>
        <color theme="1"/>
        <rFont val="Calibri"/>
        <family val="2"/>
      </rPr>
      <t>kort</t>
    </r>
  </si>
  <si>
    <r>
      <rPr>
        <sz val="11"/>
        <color theme="1"/>
        <rFont val="Calibri"/>
        <family val="2"/>
      </rPr>
      <t>lång</t>
    </r>
  </si>
  <si>
    <r>
      <rPr>
        <sz val="11"/>
        <color theme="1"/>
        <rFont val="Calibri"/>
        <family val="2"/>
      </rPr>
      <t>Välj längd:</t>
    </r>
  </si>
  <si>
    <r>
      <rPr>
        <sz val="11"/>
        <color theme="1"/>
        <rFont val="Calibri"/>
        <family val="2"/>
      </rPr>
      <t>06 mossgrön</t>
    </r>
  </si>
  <si>
    <r>
      <rPr>
        <sz val="11"/>
        <color theme="1"/>
        <rFont val="Calibri"/>
        <family val="2"/>
      </rPr>
      <t>normal</t>
    </r>
  </si>
  <si>
    <r>
      <rPr>
        <sz val="11"/>
        <color theme="1"/>
        <rFont val="Calibri"/>
        <family val="2"/>
      </rPr>
      <t>11 nötbrun</t>
    </r>
  </si>
  <si>
    <r>
      <rPr>
        <sz val="11"/>
        <color theme="1"/>
        <rFont val="Calibri"/>
        <family val="2"/>
      </rPr>
      <t>⌀ 100 mm lämplig för HT/KG (NV 110 mm)</t>
    </r>
  </si>
  <si>
    <r>
      <rPr>
        <sz val="11"/>
        <color theme="1"/>
        <rFont val="Calibri"/>
        <family val="2"/>
      </rPr>
      <t>⌀ 115 mm lämplig för HT/KG (NV 125 mm)</t>
    </r>
  </si>
  <si>
    <r>
      <rPr>
        <sz val="11"/>
        <color theme="1"/>
        <rFont val="Calibri"/>
        <family val="2"/>
      </rPr>
      <t>05 oxidröd</t>
    </r>
  </si>
  <si>
    <r>
      <rPr>
        <sz val="11"/>
        <color theme="1"/>
        <rFont val="Calibri"/>
        <family val="2"/>
      </rPr>
      <t>PREFA täckkåpa för rörsvepsdorn</t>
    </r>
  </si>
  <si>
    <r>
      <rPr>
        <sz val="11"/>
        <color theme="1"/>
        <rFont val="Calibri"/>
        <family val="2"/>
      </rPr>
      <t>PREFA avrinningskedja 5 mm</t>
    </r>
  </si>
  <si>
    <r>
      <rPr>
        <sz val="11"/>
        <color theme="1"/>
        <rFont val="Calibri"/>
        <family val="2"/>
      </rPr>
      <t>PREFA stuprör, 1,6 mm DN 100</t>
    </r>
  </si>
  <si>
    <r>
      <rPr>
        <sz val="11"/>
        <color theme="1"/>
        <rFont val="Calibri"/>
        <family val="2"/>
      </rPr>
      <t>PREFA stuprör DN 60 svetsat</t>
    </r>
  </si>
  <si>
    <r>
      <rPr>
        <sz val="11"/>
        <color theme="1"/>
        <rFont val="Calibri"/>
        <family val="2"/>
      </rPr>
      <t>PREFA stuprör</t>
    </r>
  </si>
  <si>
    <r>
      <rPr>
        <sz val="11"/>
        <color theme="1"/>
        <rFont val="Calibri"/>
        <family val="2"/>
      </rPr>
      <t>PREFA takränna av aluminium med utvändig skyddsfolie</t>
    </r>
  </si>
  <si>
    <r>
      <rPr>
        <sz val="11"/>
        <color theme="1"/>
        <rFont val="Calibri"/>
        <family val="2"/>
      </rPr>
      <t>PREFA lådränna av aluminium</t>
    </r>
  </si>
  <si>
    <r>
      <rPr>
        <sz val="11"/>
        <color theme="1"/>
        <rFont val="Calibri"/>
        <family val="2"/>
      </rPr>
      <t>PREFA lödstavar av aluminium</t>
    </r>
  </si>
  <si>
    <r>
      <rPr>
        <sz val="11"/>
        <color theme="1"/>
        <rFont val="Calibri"/>
        <family val="2"/>
      </rPr>
      <t>PREFA åskledarklämma</t>
    </r>
  </si>
  <si>
    <r>
      <rPr>
        <sz val="11"/>
        <color theme="1"/>
        <rFont val="Calibri"/>
        <family val="2"/>
      </rPr>
      <t>PREFA överbygel</t>
    </r>
  </si>
  <si>
    <r>
      <rPr>
        <sz val="11"/>
        <color theme="1"/>
        <rFont val="Calibri"/>
        <family val="2"/>
      </rPr>
      <t>PREFA takluckskåpa</t>
    </r>
  </si>
  <si>
    <r>
      <rPr>
        <sz val="10"/>
        <rFont val="Slimbach LT"/>
      </rPr>
      <t>PREFA takluckskåpa med träram (invändigt mått 600 x 600 mm)</t>
    </r>
  </si>
  <si>
    <r>
      <rPr>
        <sz val="10"/>
        <rFont val="Slimbach LT"/>
      </rPr>
      <t>PREFA takluckskåpa (invändigt mått 600 x 600 mm)</t>
    </r>
  </si>
  <si>
    <r>
      <rPr>
        <sz val="11"/>
        <color theme="1"/>
        <rFont val="Calibri"/>
        <family val="2"/>
      </rPr>
      <t>PREFA takplatta R.16 (700 × 420 mm)</t>
    </r>
  </si>
  <si>
    <r>
      <rPr>
        <sz val="11"/>
        <color theme="1"/>
        <rFont val="Calibri"/>
        <family val="2"/>
      </rPr>
      <t>PREFA takromb (29 × 29 mm, 120 st./kart.)</t>
    </r>
  </si>
  <si>
    <r>
      <rPr>
        <sz val="11"/>
        <color theme="1"/>
        <rFont val="Calibri"/>
        <family val="2"/>
      </rPr>
      <t>PREFA takromb (440 × 440 mm, 42 st./kart.)</t>
    </r>
  </si>
  <si>
    <r>
      <rPr>
        <sz val="11"/>
        <color theme="1"/>
        <rFont val="Calibri"/>
        <family val="2"/>
      </rPr>
      <t>PREFA TAKRÄNNESYSTEM</t>
    </r>
  </si>
  <si>
    <r>
      <rPr>
        <sz val="11"/>
        <color theme="1"/>
        <rFont val="Calibri"/>
        <family val="2"/>
      </rPr>
      <t>PREFA takshingel (420 x 240 mm)</t>
    </r>
  </si>
  <si>
    <r>
      <rPr>
        <sz val="11"/>
        <color theme="1"/>
        <rFont val="Calibri"/>
        <family val="2"/>
      </rPr>
      <t>PREFA expanderingsskarv</t>
    </r>
  </si>
  <si>
    <r>
      <rPr>
        <sz val="11"/>
        <color theme="1"/>
        <rFont val="Calibri"/>
        <family val="2"/>
      </rPr>
      <t>PREFA separat anslagspunkt (SAP) enligt EN 795, klass A (upp till spårbredd 650)</t>
    </r>
  </si>
  <si>
    <r>
      <rPr>
        <sz val="11"/>
        <color theme="1"/>
        <rFont val="Calibri"/>
        <family val="2"/>
      </rPr>
      <t>PREFA kantanslutning för PREFA-rör</t>
    </r>
  </si>
  <si>
    <r>
      <rPr>
        <sz val="11"/>
        <color theme="1"/>
        <rFont val="Arial"/>
        <family val="2"/>
      </rPr>
      <t>PREFA infattningsplatta för takplatta R.16 och FX.12, slät, ⌀ 80-125 mm</t>
    </r>
  </si>
  <si>
    <r>
      <rPr>
        <sz val="11"/>
        <color theme="1"/>
        <rFont val="Arial"/>
        <family val="2"/>
      </rPr>
      <t>PREFA infattningsplatta för takromb 29 × 29, slät, ⌀ 80-125 mm</t>
    </r>
  </si>
  <si>
    <r>
      <rPr>
        <sz val="11"/>
        <color theme="1"/>
        <rFont val="Arial"/>
        <family val="2"/>
      </rPr>
      <t>PREFA infattningsplatta för takromb 44 × 44, slät, ⌀ 80-125 mm</t>
    </r>
  </si>
  <si>
    <r>
      <rPr>
        <sz val="11"/>
        <color theme="1"/>
        <rFont val="Arial"/>
        <family val="2"/>
      </rPr>
      <t>PREFA infattningsplatta för takshingel</t>
    </r>
  </si>
  <si>
    <r>
      <rPr>
        <sz val="11"/>
        <color theme="1"/>
        <rFont val="Calibri"/>
        <family val="2"/>
      </rPr>
      <t>PREFA avrinningsplåt 230 × 2.000 × 0,7 mm</t>
    </r>
  </si>
  <si>
    <r>
      <rPr>
        <sz val="11"/>
        <color theme="1"/>
        <rFont val="Calibri"/>
        <family val="2"/>
      </rPr>
      <t>PREFA avrinningsplåt slät</t>
    </r>
  </si>
  <si>
    <r>
      <rPr>
        <sz val="11"/>
        <color theme="1"/>
        <rFont val="Calibri"/>
        <family val="2"/>
      </rPr>
      <t>PREFA isstoppare</t>
    </r>
  </si>
  <si>
    <r>
      <rPr>
        <sz val="11"/>
        <color theme="1"/>
        <rFont val="Calibri"/>
        <family val="2"/>
      </rPr>
      <t>PREFA ändplatta (1,48 st./lpm, 40 st./kart.)</t>
    </r>
  </si>
  <si>
    <r>
      <rPr>
        <sz val="11"/>
        <color theme="1"/>
        <rFont val="Calibri"/>
        <family val="2"/>
      </rPr>
      <t>PREFA ändplatta (2,2 st./lpm, 100 st./kart.)</t>
    </r>
  </si>
  <si>
    <r>
      <rPr>
        <sz val="11"/>
        <color theme="1"/>
        <rFont val="Calibri"/>
        <family val="2"/>
      </rPr>
      <t>PREFA ventilationsrör ⌀ 100</t>
    </r>
  </si>
  <si>
    <r>
      <rPr>
        <sz val="11"/>
        <color theme="1"/>
        <rFont val="Calibri"/>
        <family val="2"/>
      </rPr>
      <t>PREFA ventilationsrör ⌀ 120</t>
    </r>
  </si>
  <si>
    <r>
      <rPr>
        <sz val="11"/>
        <color theme="1"/>
        <rFont val="Calibri"/>
        <family val="2"/>
      </rPr>
      <t>PREFA falsgel</t>
    </r>
  </si>
  <si>
    <r>
      <rPr>
        <sz val="11"/>
        <color theme="1"/>
        <rFont val="Arial"/>
        <family val="2"/>
      </rPr>
      <t>PREFA halvmåneformad kåpa stuckatur för takshingel 420 x 240 mm ventilationstvärsnitt cirka 30 cm²</t>
    </r>
  </si>
  <si>
    <r>
      <rPr>
        <sz val="11"/>
        <color theme="1"/>
        <rFont val="Calibri"/>
        <family val="2"/>
      </rPr>
      <t>PREFA halvmåneformad kåpa för nitning, ventilationstvärsnitt cirka 30 cm²</t>
    </r>
  </si>
  <si>
    <r>
      <rPr>
        <sz val="11"/>
        <color theme="1"/>
        <rFont val="Calibri"/>
        <family val="2"/>
      </rPr>
      <t>PREFA FX.12 takpanel kort (700 × 420 mm)</t>
    </r>
  </si>
  <si>
    <r>
      <rPr>
        <sz val="11"/>
        <color theme="1"/>
        <rFont val="Calibri"/>
        <family val="2"/>
      </rPr>
      <t>PREFA FX.12 takpanel lång (1.400 × 420 mm)</t>
    </r>
  </si>
  <si>
    <r>
      <rPr>
        <sz val="11"/>
        <color theme="1"/>
        <rFont val="Calibri"/>
        <family val="2"/>
      </rPr>
      <t>PREFA gummitätning lämplig för HT/KG (NV 110 mm)</t>
    </r>
  </si>
  <si>
    <r>
      <rPr>
        <sz val="11"/>
        <color theme="1"/>
        <rFont val="Calibri"/>
        <family val="2"/>
      </rPr>
      <t>PREFA fästklammer</t>
    </r>
  </si>
  <si>
    <r>
      <rPr>
        <sz val="11"/>
        <color theme="1"/>
        <rFont val="Calibri"/>
        <family val="2"/>
      </rPr>
      <t>PREFA expanderingsskarv för hängränna med vulst och täckkåpebleck</t>
    </r>
  </si>
  <si>
    <r>
      <rPr>
        <sz val="11"/>
        <color theme="1"/>
        <rFont val="Calibri"/>
        <family val="2"/>
      </rPr>
      <t>PREFA expanderingsskarv för hängränna utan vulst och täckkåpebleck</t>
    </r>
  </si>
  <si>
    <r>
      <rPr>
        <sz val="10"/>
        <rFont val="Slimbach LT"/>
      </rPr>
      <t>PREFA träram (invändigt mått 600 x 600 mm)</t>
    </r>
  </si>
  <si>
    <r>
      <rPr>
        <sz val="11"/>
        <color theme="1"/>
        <rFont val="Calibri"/>
        <family val="2"/>
      </rPr>
      <t>PREFA hydrolack</t>
    </r>
  </si>
  <si>
    <r>
      <rPr>
        <sz val="11"/>
        <color theme="1"/>
        <rFont val="Calibri"/>
        <family val="2"/>
      </rPr>
      <t>PREFA expanderingsskarv för lådränna med vulst och täckkåpebleck</t>
    </r>
  </si>
  <si>
    <r>
      <rPr>
        <sz val="11"/>
        <color theme="1"/>
        <rFont val="Calibri"/>
        <family val="2"/>
      </rPr>
      <t>PREFA expanderingsskarv för lådränna utan vulst och täckkåpebleck</t>
    </r>
  </si>
  <si>
    <r>
      <rPr>
        <sz val="11"/>
        <color theme="1"/>
        <rFont val="Calibri"/>
        <family val="2"/>
      </rPr>
      <t>PREFA lådrännegavel</t>
    </r>
  </si>
  <si>
    <r>
      <rPr>
        <sz val="11"/>
        <color theme="1"/>
        <rFont val="Calibri"/>
        <family val="2"/>
      </rPr>
      <t>PREFA omvikningskupa rektangulär lådränna till runda rör</t>
    </r>
  </si>
  <si>
    <r>
      <rPr>
        <sz val="11"/>
        <color theme="1"/>
        <rFont val="Calibri"/>
        <family val="2"/>
      </rPr>
      <t>PREFA lådränna utvändig vinkel 90°</t>
    </r>
  </si>
  <si>
    <r>
      <rPr>
        <sz val="11"/>
        <color theme="1"/>
        <rFont val="Calibri"/>
        <family val="2"/>
      </rPr>
      <t>PREFA lådränna invändig vinkel 90°</t>
    </r>
  </si>
  <si>
    <r>
      <rPr>
        <sz val="11"/>
        <color theme="1"/>
        <rFont val="Calibri"/>
        <family val="2"/>
      </rPr>
      <t>PREFA liminfattning för falsade tak ⌀ 120-170 mm</t>
    </r>
  </si>
  <si>
    <r>
      <rPr>
        <sz val="11"/>
        <color theme="1"/>
        <rFont val="Calibri"/>
        <family val="2"/>
      </rPr>
      <t>PREFA liminfattning för falsade tak ⌀ 170-210 mm</t>
    </r>
  </si>
  <si>
    <r>
      <rPr>
        <sz val="11"/>
        <color theme="1"/>
        <rFont val="Calibri"/>
        <family val="2"/>
      </rPr>
      <t>PREFA liminfattning för falsade tak ⌀ 50-65 mm</t>
    </r>
  </si>
  <si>
    <r>
      <rPr>
        <sz val="11"/>
        <color theme="1"/>
        <rFont val="Calibri"/>
        <family val="2"/>
      </rPr>
      <t>PREFA liminfattning för falsade tak ⌀ 80-125 mm</t>
    </r>
  </si>
  <si>
    <r>
      <rPr>
        <sz val="11"/>
        <color theme="1"/>
        <rFont val="Calibri"/>
        <family val="2"/>
      </rPr>
      <t>PREFA kuländgavel</t>
    </r>
  </si>
  <si>
    <r>
      <rPr>
        <sz val="11"/>
        <color theme="1"/>
        <rFont val="Calibri"/>
        <family val="2"/>
      </rPr>
      <t>PREFA lövfångare (endast i brunt)</t>
    </r>
  </si>
  <si>
    <r>
      <rPr>
        <sz val="11"/>
        <color theme="1"/>
        <rFont val="Calibri"/>
        <family val="2"/>
      </rPr>
      <t>PREFA plattformsstöd för plattformar</t>
    </r>
  </si>
  <si>
    <r>
      <rPr>
        <sz val="11"/>
        <color theme="1"/>
        <rFont val="Calibri"/>
        <family val="2"/>
      </rPr>
      <t>PREFA M10 gängad dorn</t>
    </r>
  </si>
  <si>
    <r>
      <rPr>
        <sz val="11"/>
        <color theme="1"/>
        <rFont val="Calibri"/>
        <family val="2"/>
      </rPr>
      <t>PREFA NIRO gaffelfäste</t>
    </r>
  </si>
  <si>
    <r>
      <rPr>
        <sz val="11"/>
        <color theme="1"/>
        <rFont val="Calibri"/>
        <family val="2"/>
      </rPr>
      <t>PREFA NIRO glidgaffelfäste</t>
    </r>
  </si>
  <si>
    <r>
      <rPr>
        <sz val="11"/>
        <color theme="1"/>
        <rFont val="Calibri"/>
        <family val="2"/>
      </rPr>
      <t>PREFA NIRO glidfäste för lång stående vinkelfals, plåtlängd 12 till 15 m</t>
    </r>
  </si>
  <si>
    <r>
      <rPr>
        <sz val="11"/>
        <color theme="1"/>
        <rFont val="Calibri"/>
        <family val="2"/>
      </rPr>
      <t>PREFA NIRO glidfäste för stående vinkelfals, plåtlängd upp till 12 m</t>
    </r>
  </si>
  <si>
    <r>
      <rPr>
        <sz val="11"/>
        <color theme="1"/>
        <rFont val="Calibri"/>
        <family val="2"/>
      </rPr>
      <t>PREFA NIRO fäste för stående vinkelfals</t>
    </r>
  </si>
  <si>
    <r>
      <rPr>
        <sz val="11"/>
        <color theme="1"/>
        <rFont val="Calibri"/>
        <family val="2"/>
      </rPr>
      <t>PREFA passhingel för anslutningar (840 × 240 mm)</t>
    </r>
  </si>
  <si>
    <r>
      <rPr>
        <sz val="11"/>
        <color theme="1"/>
        <rFont val="Calibri"/>
        <family val="2"/>
      </rPr>
      <t>PREFA patenterade nitar</t>
    </r>
  </si>
  <si>
    <r>
      <rPr>
        <sz val="11"/>
        <color theme="1"/>
        <rFont val="Calibri"/>
        <family val="2"/>
      </rPr>
      <t>PREFA kvadratrör</t>
    </r>
  </si>
  <si>
    <r>
      <rPr>
        <sz val="11"/>
        <color theme="1"/>
        <rFont val="Calibri"/>
        <family val="2"/>
      </rPr>
      <t>PREFA kvadratrörskupa för lådränna</t>
    </r>
  </si>
  <si>
    <r>
      <rPr>
        <sz val="11"/>
        <color theme="1"/>
        <rFont val="Calibri"/>
        <family val="2"/>
      </rPr>
      <t>PREFA kvadratrör med rengöringslucka</t>
    </r>
  </si>
  <si>
    <r>
      <rPr>
        <sz val="11"/>
        <color theme="1"/>
        <rFont val="Calibri"/>
        <family val="2"/>
      </rPr>
      <t>PREFA kvadratrörsmuff</t>
    </r>
  </si>
  <si>
    <r>
      <rPr>
        <sz val="11"/>
        <color theme="1"/>
        <rFont val="Calibri"/>
        <family val="2"/>
      </rPr>
      <t>PREFA vägganslutning för kvadratrör</t>
    </r>
  </si>
  <si>
    <r>
      <rPr>
        <sz val="11"/>
        <color theme="1"/>
        <rFont val="Calibri"/>
        <family val="2"/>
      </rPr>
      <t>PREFA Kvadratrörsvattenuppsamlare 220/220/330</t>
    </r>
  </si>
  <si>
    <r>
      <rPr>
        <sz val="11"/>
        <color theme="1"/>
        <rFont val="Calibri"/>
        <family val="2"/>
      </rPr>
      <t>PREFA kvadratrörsvinkel 72° kort</t>
    </r>
  </si>
  <si>
    <r>
      <rPr>
        <sz val="11"/>
        <color theme="1"/>
        <rFont val="Calibri"/>
        <family val="2"/>
      </rPr>
      <t>PREFA kvadratrörsvinkel 72° lång</t>
    </r>
  </si>
  <si>
    <r>
      <rPr>
        <sz val="11"/>
        <color theme="1"/>
        <rFont val="Calibri"/>
        <family val="2"/>
      </rPr>
      <t>PREFA fällbar utkastare</t>
    </r>
  </si>
  <si>
    <r>
      <rPr>
        <sz val="11"/>
        <color theme="1"/>
        <rFont val="Calibri"/>
        <family val="2"/>
      </rPr>
      <t>PREFA rännändgavel</t>
    </r>
  </si>
  <si>
    <r>
      <rPr>
        <sz val="11"/>
        <color theme="1"/>
        <rFont val="Calibri"/>
        <family val="2"/>
      </rPr>
      <t>PREFA rännkrok</t>
    </r>
  </si>
  <si>
    <r>
      <rPr>
        <sz val="11"/>
        <color theme="1"/>
        <rFont val="Calibri"/>
        <family val="2"/>
      </rPr>
      <t>PREFA rännkrok för lådränna</t>
    </r>
  </si>
  <si>
    <r>
      <rPr>
        <sz val="11"/>
        <color theme="1"/>
        <rFont val="Calibri"/>
        <family val="2"/>
      </rPr>
      <t>PREFA rännkrok högkant</t>
    </r>
  </si>
  <si>
    <r>
      <rPr>
        <sz val="11"/>
        <color theme="1"/>
        <rFont val="Calibri"/>
        <family val="2"/>
      </rPr>
      <t>PREFA rännkrok Schweiz</t>
    </r>
  </si>
  <si>
    <r>
      <rPr>
        <sz val="11"/>
        <color theme="1"/>
        <rFont val="Calibri"/>
        <family val="2"/>
      </rPr>
      <t>PREFA rännkroksspik 5,0 × 80</t>
    </r>
  </si>
  <si>
    <r>
      <rPr>
        <sz val="11"/>
        <color theme="1"/>
        <rFont val="Calibri"/>
        <family val="2"/>
      </rPr>
      <t>PREFA omvikningskupa</t>
    </r>
  </si>
  <si>
    <r>
      <rPr>
        <sz val="11"/>
        <color theme="1"/>
        <rFont val="Calibri"/>
        <family val="2"/>
      </rPr>
      <t>PREFA ränna utvändig vinkel 90°</t>
    </r>
  </si>
  <si>
    <r>
      <rPr>
        <sz val="11"/>
        <color theme="1"/>
        <rFont val="Calibri"/>
        <family val="2"/>
      </rPr>
      <t>PREFA ränna invändig vinkel 90°</t>
    </r>
  </si>
  <si>
    <r>
      <rPr>
        <sz val="11"/>
        <color theme="1"/>
        <rFont val="Calibri"/>
        <family val="2"/>
      </rPr>
      <t>PREFA rör 28 × 2 × 3.000 mm, inkl. muff</t>
    </r>
  </si>
  <si>
    <r>
      <rPr>
        <sz val="11"/>
        <color theme="1"/>
        <rFont val="Calibri"/>
        <family val="2"/>
      </rPr>
      <t>PREFA rörvinkel 40°</t>
    </r>
  </si>
  <si>
    <r>
      <rPr>
        <sz val="11"/>
        <color theme="1"/>
        <rFont val="Calibri"/>
        <family val="2"/>
      </rPr>
      <t>PREFA rörvinkel 72°</t>
    </r>
  </si>
  <si>
    <r>
      <rPr>
        <sz val="11"/>
        <color theme="1"/>
        <rFont val="Calibri"/>
        <family val="2"/>
      </rPr>
      <t>PREFA rörvinkel 85°</t>
    </r>
  </si>
  <si>
    <r>
      <rPr>
        <sz val="11"/>
        <color theme="1"/>
        <rFont val="Calibri"/>
        <family val="2"/>
      </rPr>
      <t>PREFA grenrör</t>
    </r>
  </si>
  <si>
    <r>
      <rPr>
        <sz val="11"/>
        <color theme="1"/>
        <rFont val="Calibri"/>
        <family val="2"/>
      </rPr>
      <t>PREFA grenrör koniskt</t>
    </r>
  </si>
  <si>
    <r>
      <rPr>
        <sz val="11"/>
        <color theme="1"/>
        <rFont val="Calibri"/>
        <family val="2"/>
      </rPr>
      <t>PREFA rörsvep för stuprör</t>
    </r>
  </si>
  <si>
    <r>
      <rPr>
        <sz val="11"/>
        <color theme="1"/>
        <rFont val="Calibri"/>
        <family val="2"/>
      </rPr>
      <t>PREFA rörsvep med M10-gänga utan dorn</t>
    </r>
  </si>
  <si>
    <r>
      <rPr>
        <sz val="11"/>
        <color theme="1"/>
        <rFont val="Calibri"/>
        <family val="2"/>
      </rPr>
      <t>PREFA rörsvepsdorn</t>
    </r>
  </si>
  <si>
    <r>
      <rPr>
        <sz val="11"/>
        <color theme="1"/>
        <rFont val="Calibri"/>
        <family val="2"/>
      </rPr>
      <t>PREFA rörsvepsdymling med dorn (för enstegstätad fasad)</t>
    </r>
  </si>
  <si>
    <r>
      <rPr>
        <sz val="11"/>
        <color theme="1"/>
        <rFont val="Calibri"/>
        <family val="2"/>
      </rPr>
      <t>PREFA rörssvepsfäste (för enstegstätad fasad)</t>
    </r>
  </si>
  <si>
    <r>
      <rPr>
        <sz val="11"/>
        <color theme="1"/>
        <rFont val="Calibri"/>
        <family val="2"/>
      </rPr>
      <t>PREFA röranslutning</t>
    </r>
  </si>
  <si>
    <r>
      <rPr>
        <sz val="11"/>
        <color theme="1"/>
        <rFont val="Calibri"/>
        <family val="2"/>
      </rPr>
      <t>PREFA sailer-klämma dubbel</t>
    </r>
  </si>
  <si>
    <r>
      <rPr>
        <sz val="11"/>
        <color theme="1"/>
        <rFont val="Calibri"/>
        <family val="2"/>
      </rPr>
      <t>PREFA sailer-klämma enkel</t>
    </r>
  </si>
  <si>
    <r>
      <rPr>
        <sz val="11"/>
        <color theme="1"/>
        <rFont val="Calibri"/>
        <family val="2"/>
      </rPr>
      <t>PREFA sailer-klämma för snedfals</t>
    </r>
  </si>
  <si>
    <r>
      <rPr>
        <sz val="11"/>
        <color theme="1"/>
        <rFont val="Calibri"/>
        <family val="2"/>
      </rPr>
      <t>PREFA kantränna med utvändig skyddsfolie</t>
    </r>
  </si>
  <si>
    <r>
      <rPr>
        <sz val="11"/>
        <color theme="1"/>
        <rFont val="Calibri"/>
        <family val="2"/>
      </rPr>
      <t>PREFA kantrännändgavel</t>
    </r>
  </si>
  <si>
    <r>
      <rPr>
        <sz val="11"/>
        <color theme="1"/>
        <rFont val="Calibri"/>
        <family val="2"/>
      </rPr>
      <t>PREFA kantrännkrok</t>
    </r>
  </si>
  <si>
    <r>
      <rPr>
        <sz val="11"/>
        <color theme="1"/>
        <rFont val="Calibri"/>
        <family val="2"/>
      </rPr>
      <t>PREFA kantremsa (1.800 × 158 × 1,00 mm)</t>
    </r>
  </si>
  <si>
    <r>
      <rPr>
        <sz val="11"/>
        <color theme="1"/>
        <rFont val="Arial"/>
        <family val="2"/>
      </rPr>
      <t>PREFA snöstoppare för takplatta R.16 och FX.12</t>
    </r>
  </si>
  <si>
    <r>
      <rPr>
        <sz val="11"/>
        <color theme="1"/>
        <rFont val="Arial"/>
        <family val="2"/>
      </rPr>
      <t>PREFA snöstoppare för takromb 29 × 29</t>
    </r>
  </si>
  <si>
    <r>
      <rPr>
        <sz val="11"/>
        <color theme="1"/>
        <rFont val="Arial"/>
        <family val="2"/>
      </rPr>
      <t>PREFA snöstoppare för takromb 44 × 44</t>
    </r>
  </si>
  <si>
    <r>
      <rPr>
        <sz val="11"/>
        <color theme="1"/>
        <rFont val="Arial"/>
        <family val="2"/>
      </rPr>
      <t>PREFA snöstoppare för takshingel</t>
    </r>
  </si>
  <si>
    <r>
      <rPr>
        <sz val="11"/>
        <color theme="1"/>
        <rFont val="Calibri"/>
        <family val="2"/>
      </rPr>
      <t>PREFA vinkelbar omvikningskupa</t>
    </r>
  </si>
  <si>
    <r>
      <rPr>
        <sz val="11"/>
        <color theme="1"/>
        <rFont val="Calibri"/>
        <family val="2"/>
      </rPr>
      <t>PREFA sockelknä 60 mm utladdning</t>
    </r>
  </si>
  <si>
    <r>
      <rPr>
        <sz val="11"/>
        <color theme="1"/>
        <rFont val="Calibri"/>
        <family val="2"/>
      </rPr>
      <t>PREFA vägganslutning</t>
    </r>
  </si>
  <si>
    <r>
      <rPr>
        <sz val="11"/>
        <color theme="1"/>
        <rFont val="Calibri"/>
        <family val="2"/>
      </rPr>
      <t>PREFA stuprör med rengöringslucka</t>
    </r>
  </si>
  <si>
    <r>
      <rPr>
        <sz val="11"/>
        <color theme="1"/>
        <rFont val="Calibri"/>
        <family val="2"/>
      </rPr>
      <t>PREFA krage till brunnsutkastare</t>
    </r>
  </si>
  <si>
    <r>
      <rPr>
        <sz val="11"/>
        <color theme="1"/>
        <rFont val="Calibri"/>
        <family val="2"/>
      </rPr>
      <t>PREFA startplatta (1,48 st./lpm, 40 st./kart.)</t>
    </r>
  </si>
  <si>
    <r>
      <rPr>
        <sz val="11"/>
        <color theme="1"/>
        <rFont val="Calibri"/>
        <family val="2"/>
      </rPr>
      <t>PREFA startplatta (2,2 st./lpm, 100 st./kart.)</t>
    </r>
  </si>
  <si>
    <r>
      <rPr>
        <sz val="11"/>
        <color theme="1"/>
        <rFont val="Calibri"/>
        <family val="2"/>
      </rPr>
      <t>PREFA-rännhake för takränna</t>
    </r>
  </si>
  <si>
    <r>
      <rPr>
        <sz val="11"/>
        <color theme="1"/>
        <rFont val="Calibri"/>
        <family val="2"/>
      </rPr>
      <t>PREFA-rännhake för lådränna</t>
    </r>
  </si>
  <si>
    <r>
      <rPr>
        <sz val="11"/>
        <color theme="1"/>
        <rFont val="Calibri"/>
        <family val="2"/>
      </rPr>
      <t>PREFA kantrännestötta</t>
    </r>
  </si>
  <si>
    <r>
      <rPr>
        <sz val="11"/>
        <color theme="1"/>
        <rFont val="Calibri"/>
        <family val="2"/>
      </rPr>
      <t>PREFA teleskoprörvinkel, inställningsbar i längsled på mellan 700 och 1.000 mm, DN 100</t>
    </r>
  </si>
  <si>
    <r>
      <rPr>
        <sz val="11"/>
        <color theme="1"/>
        <rFont val="Calibri"/>
        <family val="2"/>
      </rPr>
      <t>PREFA fågelskyddsgaller 125 × 2.000 × 0,7 mm</t>
    </r>
  </si>
  <si>
    <r>
      <rPr>
        <sz val="11"/>
        <color theme="1"/>
        <rFont val="Calibri"/>
        <family val="2"/>
      </rPr>
      <t>PREFA vattenuppsamlare 220/220/330</t>
    </r>
  </si>
  <si>
    <r>
      <rPr>
        <sz val="11"/>
        <color theme="1"/>
        <rFont val="Calibri"/>
        <family val="2"/>
      </rPr>
      <t>PREFA regnvattensamlare</t>
    </r>
  </si>
  <si>
    <r>
      <rPr>
        <sz val="11"/>
        <color theme="1"/>
        <rFont val="Calibri"/>
        <family val="2"/>
      </rPr>
      <t>PREFALZ</t>
    </r>
  </si>
  <si>
    <r>
      <rPr>
        <sz val="11"/>
        <color theme="1"/>
        <rFont val="Calibri"/>
        <family val="2"/>
      </rPr>
      <t>Prefalz färgytbehandlat aluminiumband 0,7 × 1.000 mm</t>
    </r>
  </si>
  <si>
    <r>
      <rPr>
        <sz val="11"/>
        <color theme="1"/>
        <rFont val="Calibri"/>
        <family val="2"/>
      </rPr>
      <t>Prefalz färgytbehandlat aluminiumband 0,7 × 1.000 mm (för kompletterande plåtarbeten)</t>
    </r>
  </si>
  <si>
    <r>
      <rPr>
        <sz val="11"/>
        <color theme="1"/>
        <rFont val="Calibri"/>
        <family val="2"/>
      </rPr>
      <t>Prefalz färgytbehandlat aluminiumband 0,7 × 500 mm</t>
    </r>
  </si>
  <si>
    <r>
      <rPr>
        <sz val="11"/>
        <color theme="1"/>
        <rFont val="Calibri"/>
        <family val="2"/>
      </rPr>
      <t>Prefalz färgytbehandlat aluminiumband 0,7 × 650 mm</t>
    </r>
  </si>
  <si>
    <r>
      <rPr>
        <sz val="11"/>
        <color theme="1"/>
        <rFont val="Calibri"/>
        <family val="2"/>
      </rPr>
      <t>10 prefavit</t>
    </r>
  </si>
  <si>
    <r>
      <rPr>
        <sz val="11"/>
        <color theme="1"/>
        <rFont val="Calibri"/>
        <family val="2"/>
      </rPr>
      <t>10 P.10 prefavit</t>
    </r>
  </si>
  <si>
    <r>
      <rPr>
        <sz val="11"/>
        <color theme="1"/>
        <rFont val="Calibri"/>
        <family val="2"/>
      </rPr>
      <t>KVADRATRÖR</t>
    </r>
  </si>
  <si>
    <r>
      <rPr>
        <sz val="11"/>
        <color theme="1"/>
        <rFont val="Calibri"/>
        <family val="2"/>
      </rPr>
      <t>Ränndimension:</t>
    </r>
  </si>
  <si>
    <r>
      <rPr>
        <sz val="11"/>
        <color theme="1"/>
        <rFont val="Calibri"/>
        <family val="2"/>
      </rPr>
      <t>Välj rännlängd:</t>
    </r>
  </si>
  <si>
    <r>
      <rPr>
        <sz val="11"/>
        <color theme="1"/>
        <rFont val="Calibri"/>
        <family val="2"/>
      </rPr>
      <t>Välj rörlängd:</t>
    </r>
  </si>
  <si>
    <r>
      <rPr>
        <sz val="11"/>
        <color theme="1"/>
        <rFont val="Calibri"/>
        <family val="2"/>
      </rPr>
      <t>03 svart</t>
    </r>
  </si>
  <si>
    <r>
      <rPr>
        <sz val="11"/>
        <color theme="1"/>
        <rFont val="Calibri"/>
        <family val="2"/>
      </rPr>
      <t>PREFA väggmonteringsplatta</t>
    </r>
  </si>
  <si>
    <r>
      <rPr>
        <sz val="11"/>
        <color theme="1"/>
        <rFont val="Calibri"/>
        <family val="2"/>
      </rPr>
      <t>04 tegelröd</t>
    </r>
  </si>
  <si>
    <r>
      <rPr>
        <sz val="11"/>
        <color theme="1"/>
        <rFont val="Calibri"/>
        <family val="2"/>
      </rPr>
      <t>08 zinkgrå</t>
    </r>
  </si>
  <si>
    <r>
      <rPr>
        <sz val="11"/>
        <color theme="1"/>
        <rFont val="Calibri"/>
        <family val="2"/>
      </rPr>
      <t>08 P.10 zinkgrå</t>
    </r>
  </si>
  <si>
    <r>
      <rPr>
        <sz val="11"/>
        <color theme="1"/>
        <rFont val="Calibri"/>
        <family val="2"/>
      </rPr>
      <t>PREFA takrombsfäste 29 × 29</t>
    </r>
  </si>
  <si>
    <r>
      <rPr>
        <sz val="11"/>
        <color theme="1"/>
        <rFont val="Calibri"/>
        <family val="2"/>
      </rPr>
      <t>PREFA räfflad spik NIRO</t>
    </r>
  </si>
  <si>
    <r>
      <rPr>
        <sz val="11"/>
        <color theme="1"/>
        <rFont val="Calibri"/>
        <family val="2"/>
      </rPr>
      <t>PREFA lådrännebotten 500 vänster</t>
    </r>
  </si>
  <si>
    <r>
      <rPr>
        <sz val="11"/>
        <color theme="1"/>
        <rFont val="Calibri"/>
        <family val="2"/>
      </rPr>
      <t>PREFA lådrännebotten 500 höger</t>
    </r>
  </si>
  <si>
    <r>
      <rPr>
        <sz val="11"/>
        <color theme="1"/>
        <rFont val="Calibri"/>
        <family val="2"/>
      </rPr>
      <t>45 brons</t>
    </r>
  </si>
  <si>
    <r>
      <rPr>
        <sz val="11"/>
        <color theme="1"/>
        <rFont val="Calibri"/>
        <family val="2"/>
      </rPr>
      <t>46 patina grön</t>
    </r>
  </si>
  <si>
    <r>
      <rPr>
        <sz val="11"/>
        <color theme="1"/>
        <rFont val="Calibri"/>
        <family val="2"/>
      </rPr>
      <t>23 svartgrå</t>
    </r>
  </si>
  <si>
    <r>
      <rPr>
        <sz val="11"/>
        <color theme="1"/>
        <rFont val="Calibri"/>
        <family val="2"/>
      </rPr>
      <t>47 patina grå</t>
    </r>
  </si>
  <si>
    <r>
      <rPr>
        <sz val="11"/>
        <color theme="1"/>
        <rFont val="Calibri"/>
        <family val="2"/>
      </rPr>
      <t>Artikelnummer</t>
    </r>
  </si>
  <si>
    <r>
      <rPr>
        <sz val="11"/>
        <color theme="1"/>
        <rFont val="Calibri"/>
        <family val="2"/>
      </rPr>
      <t>PREFA TAKSYSTEMER</t>
    </r>
  </si>
  <si>
    <r>
      <rPr>
        <sz val="11"/>
        <color theme="1"/>
        <rFont val="Calibri"/>
        <family val="2"/>
      </rPr>
      <t>TAKPLATE</t>
    </r>
  </si>
  <si>
    <r>
      <rPr>
        <sz val="11"/>
        <color theme="1"/>
        <rFont val="Calibri"/>
        <family val="2"/>
      </rPr>
      <t>RETUR PER FAKS:</t>
    </r>
  </si>
  <si>
    <r>
      <rPr>
        <sz val="11"/>
        <color theme="1"/>
        <rFont val="Calibri"/>
        <family val="2"/>
      </rPr>
      <t>Dato:</t>
    </r>
  </si>
  <si>
    <r>
      <rPr>
        <sz val="11"/>
        <color theme="1"/>
        <rFont val="Calibri"/>
        <family val="2"/>
      </rPr>
      <t>Firma/bestiller:</t>
    </r>
  </si>
  <si>
    <r>
      <rPr>
        <sz val="11"/>
        <color theme="1"/>
        <rFont val="Calibri"/>
        <family val="2"/>
      </rPr>
      <t>Navn:</t>
    </r>
  </si>
  <si>
    <r>
      <rPr>
        <sz val="11"/>
        <color theme="1"/>
        <rFont val="Calibri"/>
        <family val="2"/>
      </rPr>
      <t>Gate:</t>
    </r>
  </si>
  <si>
    <r>
      <rPr>
        <sz val="11"/>
        <color theme="1"/>
        <rFont val="Calibri"/>
        <family val="2"/>
      </rPr>
      <t>Sted:</t>
    </r>
  </si>
  <si>
    <r>
      <rPr>
        <sz val="11"/>
        <color theme="1"/>
        <rFont val="Calibri"/>
        <family val="2"/>
      </rPr>
      <t>Leveringsadresse:</t>
    </r>
  </si>
  <si>
    <r>
      <rPr>
        <sz val="11"/>
        <color theme="1"/>
        <rFont val="Calibri"/>
        <family val="2"/>
      </rPr>
      <t>Kommisjon:</t>
    </r>
  </si>
  <si>
    <r>
      <rPr>
        <sz val="11"/>
        <color theme="1"/>
        <rFont val="Calibri"/>
        <family val="2"/>
      </rPr>
      <t>Overflate:</t>
    </r>
  </si>
  <si>
    <r>
      <rPr>
        <sz val="11"/>
        <color theme="1"/>
        <rFont val="Calibri"/>
        <family val="2"/>
      </rPr>
      <t>stucco</t>
    </r>
  </si>
  <si>
    <r>
      <rPr>
        <sz val="11"/>
        <color theme="1"/>
        <rFont val="Calibri"/>
        <family val="2"/>
      </rPr>
      <t>glatt</t>
    </r>
  </si>
  <si>
    <r>
      <rPr>
        <sz val="11"/>
        <color theme="1"/>
        <rFont val="Calibri"/>
        <family val="2"/>
      </rPr>
      <t>Mengder i:</t>
    </r>
  </si>
  <si>
    <r>
      <rPr>
        <sz val="11"/>
        <color theme="1"/>
        <rFont val="Calibri"/>
        <family val="2"/>
      </rPr>
      <t>FPE</t>
    </r>
  </si>
  <si>
    <r>
      <rPr>
        <sz val="11"/>
        <color theme="1"/>
        <rFont val="Calibri"/>
        <family val="2"/>
      </rPr>
      <t>Stk.</t>
    </r>
  </si>
  <si>
    <r>
      <rPr>
        <sz val="11"/>
        <color theme="1"/>
        <rFont val="Calibri"/>
        <family val="2"/>
      </rPr>
      <t>Farge:</t>
    </r>
  </si>
  <si>
    <r>
      <rPr>
        <sz val="11"/>
        <color theme="1"/>
        <rFont val="Calibri"/>
        <family val="2"/>
      </rPr>
      <t>02 P.10 antrasitt</t>
    </r>
  </si>
  <si>
    <r>
      <rPr>
        <sz val="11"/>
        <color theme="1"/>
        <rFont val="Calibri"/>
        <family val="2"/>
      </rPr>
      <t>04 P.10 teglsteinsrød</t>
    </r>
  </si>
  <si>
    <r>
      <rPr>
        <sz val="11"/>
        <color theme="1"/>
        <rFont val="Calibri"/>
        <family val="2"/>
      </rPr>
      <t>05 P.10 oksidrød</t>
    </r>
  </si>
  <si>
    <r>
      <rPr>
        <sz val="11"/>
        <color theme="1"/>
        <rFont val="Calibri"/>
        <family val="2"/>
      </rPr>
      <t>06 P.10 mosegrønn</t>
    </r>
  </si>
  <si>
    <r>
      <rPr>
        <sz val="11"/>
        <color theme="1"/>
        <rFont val="Calibri"/>
        <family val="2"/>
      </rPr>
      <t xml:space="preserve">07 P.10 lys grå </t>
    </r>
  </si>
  <si>
    <r>
      <rPr>
        <sz val="11"/>
        <color theme="1"/>
        <rFont val="Calibri"/>
        <family val="2"/>
      </rPr>
      <t>11 P.10 nøttebrun</t>
    </r>
  </si>
  <si>
    <r>
      <rPr>
        <sz val="11"/>
        <color theme="1"/>
        <rFont val="Calibri"/>
        <family val="2"/>
      </rPr>
      <t>43 P.10 steingrå</t>
    </r>
  </si>
  <si>
    <r>
      <rPr>
        <sz val="11"/>
        <color theme="1"/>
        <rFont val="Calibri"/>
        <family val="2"/>
      </rPr>
      <t>13 naturblank</t>
    </r>
  </si>
  <si>
    <r>
      <rPr>
        <sz val="11"/>
        <color theme="1"/>
        <rFont val="Calibri"/>
        <family val="2"/>
      </rPr>
      <t>pulverlakkert</t>
    </r>
  </si>
  <si>
    <r>
      <rPr>
        <sz val="11"/>
        <color theme="1"/>
        <rFont val="Calibri"/>
        <family val="2"/>
      </rPr>
      <t>Farge</t>
    </r>
  </si>
  <si>
    <r>
      <rPr>
        <sz val="11"/>
        <color theme="1"/>
        <rFont val="Calibri"/>
        <family val="2"/>
      </rPr>
      <t>Mengde</t>
    </r>
  </si>
  <si>
    <r>
      <rPr>
        <sz val="11"/>
        <color theme="1"/>
        <rFont val="Calibri"/>
        <family val="2"/>
      </rPr>
      <t>Illustrasjon</t>
    </r>
  </si>
  <si>
    <r>
      <rPr>
        <sz val="11"/>
        <color theme="1"/>
        <rFont val="Calibri"/>
        <family val="2"/>
      </rPr>
      <t>Betegnelse</t>
    </r>
  </si>
  <si>
    <r>
      <rPr>
        <sz val="11"/>
        <color theme="1"/>
        <rFont val="Calibri"/>
        <family val="2"/>
      </rPr>
      <t>Ekstra</t>
    </r>
  </si>
  <si>
    <r>
      <rPr>
        <sz val="11"/>
        <color theme="1"/>
        <rFont val="Calibri"/>
        <family val="2"/>
      </rPr>
      <t>lm</t>
    </r>
  </si>
  <si>
    <r>
      <rPr>
        <sz val="11"/>
        <color theme="1"/>
        <rFont val="Calibri"/>
        <family val="2"/>
      </rPr>
      <t>Kartong</t>
    </r>
  </si>
  <si>
    <r>
      <rPr>
        <sz val="11"/>
        <color theme="1"/>
        <rFont val="Calibri"/>
        <family val="2"/>
      </rPr>
      <t>Pakke</t>
    </r>
  </si>
  <si>
    <r>
      <rPr>
        <sz val="11"/>
        <color theme="1"/>
        <rFont val="Calibri"/>
        <family val="2"/>
      </rPr>
      <t>Sett</t>
    </r>
  </si>
  <si>
    <r>
      <rPr>
        <sz val="11"/>
        <color theme="1"/>
        <rFont val="Calibri"/>
        <family val="2"/>
      </rPr>
      <t>Rull</t>
    </r>
  </si>
  <si>
    <r>
      <rPr>
        <sz val="11"/>
        <color theme="1"/>
        <rFont val="Calibri"/>
        <family val="2"/>
      </rPr>
      <t>Ruller</t>
    </r>
  </si>
  <si>
    <r>
      <rPr>
        <sz val="11"/>
        <color theme="1"/>
        <rFont val="Calibri"/>
        <family val="2"/>
      </rPr>
      <t>Tilleggsnotat:</t>
    </r>
  </si>
  <si>
    <r>
      <rPr>
        <sz val="11"/>
        <color theme="1"/>
        <rFont val="Calibri"/>
        <family val="2"/>
      </rPr>
      <t>PREFA takplate (600 x 420 mm, 40 stk./kart.) inkl. riflet spiker (28/30) og patenterte festebraketter</t>
    </r>
  </si>
  <si>
    <r>
      <rPr>
        <sz val="11"/>
        <color theme="1"/>
        <rFont val="Calibri"/>
        <family val="2"/>
      </rPr>
      <t>PREFA skjøteplate brun, forboret (1806x150x1,20 mm)</t>
    </r>
  </si>
  <si>
    <r>
      <rPr>
        <sz val="11"/>
        <color theme="1"/>
        <rFont val="Calibri"/>
        <family val="2"/>
      </rPr>
      <t>PREFA skjøteplate med spor (for avtrapping 600 x 150 mm)</t>
    </r>
  </si>
  <si>
    <r>
      <rPr>
        <sz val="11"/>
        <color theme="1"/>
        <rFont val="Calibri"/>
        <family val="2"/>
      </rPr>
      <t>PREFA patentert festebrakett for takplate og takshingel</t>
    </r>
  </si>
  <si>
    <r>
      <rPr>
        <sz val="11"/>
        <color theme="1"/>
        <rFont val="Calibri"/>
        <family val="2"/>
      </rPr>
      <t>Brakettmagasin for etterlading Bull Tack-spikerpistol
80 stk./brakettmagasin, 30 mag./kartong</t>
    </r>
  </si>
  <si>
    <r>
      <rPr>
        <sz val="11"/>
        <rFont val="Slimbach LT"/>
      </rPr>
      <t>velg</t>
    </r>
  </si>
  <si>
    <r>
      <rPr>
        <sz val="11"/>
        <rFont val="Slimbach LT"/>
      </rPr>
      <t>Mengdeberegning/forespørsel</t>
    </r>
  </si>
  <si>
    <r>
      <rPr>
        <sz val="11"/>
        <rFont val="Slimbach LT"/>
      </rPr>
      <t>Bestilling</t>
    </r>
  </si>
  <si>
    <r>
      <rPr>
        <sz val="11"/>
        <rFont val="Slimbach LT"/>
      </rPr>
      <t>Mange takk for din mengdeberegning</t>
    </r>
  </si>
  <si>
    <r>
      <rPr>
        <sz val="11"/>
        <rFont val="Slimbach LT"/>
      </rPr>
      <t>Mange takk for din bestilling</t>
    </r>
  </si>
  <si>
    <r>
      <rPr>
        <sz val="11"/>
        <rFont val="Slimbach LT"/>
      </rPr>
      <t>PREFA riflet spiker galvanisert</t>
    </r>
  </si>
  <si>
    <r>
      <rPr>
        <sz val="11"/>
        <rFont val="Slimbach LT"/>
      </rPr>
      <t>28/25 (1 kg = ca. 570 stk.)</t>
    </r>
  </si>
  <si>
    <r>
      <rPr>
        <sz val="11"/>
        <rFont val="Slimbach LT"/>
      </rPr>
      <t>28/30 (1 kg = ca. 480 stk.)</t>
    </r>
  </si>
  <si>
    <r>
      <rPr>
        <sz val="11"/>
        <rFont val="Slimbach LT"/>
      </rPr>
      <t>28/40 (1 kg = ca. 380 stk.)</t>
    </r>
  </si>
  <si>
    <r>
      <rPr>
        <sz val="11"/>
        <rFont val="Slimbach LT"/>
      </rPr>
      <t>Spiker for Bull Tack Power-spikerpistol</t>
    </r>
  </si>
  <si>
    <r>
      <rPr>
        <sz val="11"/>
        <rFont val="Slimbach LT"/>
      </rPr>
      <t>Lengde 26 mm (3200 stk./kartong)</t>
    </r>
  </si>
  <si>
    <r>
      <rPr>
        <sz val="11"/>
        <rFont val="Slimbach LT"/>
      </rPr>
      <t>Lengde 35 mm (2400 stk./kartong)</t>
    </r>
  </si>
  <si>
    <r>
      <rPr>
        <sz val="11"/>
        <rFont val="Slimbach LT"/>
      </rPr>
      <t>Lengde 26 mm (3200 stk./kartong) RUSTFRITT STÅL</t>
    </r>
  </si>
  <si>
    <r>
      <rPr>
        <sz val="11"/>
        <color theme="1"/>
        <rFont val="Arial"/>
        <family val="2"/>
      </rPr>
      <t>PREFA avrenningsplate glatt 230 × 2000 × 0,7 mm</t>
    </r>
  </si>
  <si>
    <r>
      <rPr>
        <sz val="11"/>
        <color theme="1"/>
        <rFont val="Arial"/>
        <family val="2"/>
      </rPr>
      <t>PREFA ventilasjonsplate</t>
    </r>
  </si>
  <si>
    <r>
      <rPr>
        <sz val="11"/>
        <rFont val="Slimbach LT"/>
      </rPr>
      <t>1x250 (A=140 B=85 C=25 mm)</t>
    </r>
  </si>
  <si>
    <r>
      <rPr>
        <sz val="11"/>
        <rFont val="Slimbach LT"/>
      </rPr>
      <t>1x333 (A=223 B=85 C=25 mm)</t>
    </r>
  </si>
  <si>
    <r>
      <rPr>
        <sz val="11"/>
        <color theme="1"/>
        <rFont val="Arial"/>
        <family val="2"/>
      </rPr>
      <t>PREFA fuglegitter brun/antrasitt (125x2000x0,7 mm)</t>
    </r>
  </si>
  <si>
    <r>
      <rPr>
        <sz val="11"/>
        <color theme="1"/>
        <rFont val="Arial"/>
        <family val="2"/>
      </rPr>
      <t>PREFA vindskibeslag (95 x 2000 x 0,70 mm)</t>
    </r>
  </si>
  <si>
    <r>
      <rPr>
        <sz val="11"/>
        <color theme="1"/>
        <rFont val="Arial"/>
        <family val="2"/>
      </rPr>
      <t>PREFA vinkelrenne stucco (3000 mm lang)</t>
    </r>
  </si>
  <si>
    <r>
      <rPr>
        <sz val="11"/>
        <color theme="1"/>
        <rFont val="Arial"/>
        <family val="2"/>
      </rPr>
      <t>PREFA mønestein 500 x 1,00 mm stucco
inkl. skrue i rustfritt stål 4,5x45mm og tetningsskive</t>
    </r>
  </si>
  <si>
    <r>
      <rPr>
        <sz val="11"/>
        <color theme="1"/>
        <rFont val="Arial"/>
        <family val="2"/>
      </rPr>
      <t>PREFA mønestein start-/endestykke stucco</t>
    </r>
  </si>
  <si>
    <r>
      <rPr>
        <sz val="11"/>
        <color theme="1"/>
        <rFont val="Arial"/>
        <family val="2"/>
      </rPr>
      <t>PREFA kanalventilasjon stucco (1200 mm) inkl. skrue i rustfritt stål og tetn.skive</t>
    </r>
  </si>
  <si>
    <r>
      <rPr>
        <sz val="11"/>
        <color theme="1"/>
        <rFont val="Arial"/>
        <family val="2"/>
      </rPr>
      <t>PREFA kanalventilasjon stucco (3000 mm) inkl. skrue i rustfritt stål og tetn.skive</t>
    </r>
  </si>
  <si>
    <r>
      <rPr>
        <sz val="11"/>
        <color theme="1"/>
        <rFont val="Arial"/>
        <family val="2"/>
      </rPr>
      <t>PREFA kanalventilasjon endestykke stucco</t>
    </r>
  </si>
  <si>
    <r>
      <rPr>
        <sz val="11"/>
        <color theme="1"/>
        <rFont val="Arial"/>
        <family val="2"/>
      </rPr>
      <t>Skrue i rustfritt stål med tetningsskive for mønestein</t>
    </r>
  </si>
  <si>
    <r>
      <rPr>
        <sz val="11"/>
        <color theme="1"/>
        <rFont val="Arial"/>
        <family val="2"/>
      </rPr>
      <t>Skrue i rustfritt stål med tetningsskive for kanalventilasjon</t>
    </r>
  </si>
  <si>
    <r>
      <rPr>
        <sz val="11"/>
        <rFont val="Slimbach LT"/>
      </rPr>
      <t>(4,5 x 45 mm, 250 stk./pakke)</t>
    </r>
  </si>
  <si>
    <r>
      <rPr>
        <sz val="11"/>
        <rFont val="Slimbach LT"/>
      </rPr>
      <t>(4,5 x 45 mm, 250 stk./pakke, blank)</t>
    </r>
  </si>
  <si>
    <r>
      <rPr>
        <sz val="11"/>
        <rFont val="Slimbach LT"/>
      </rPr>
      <t>(4,5 x 60 mm, 100 stk./pakke)</t>
    </r>
  </si>
  <si>
    <r>
      <rPr>
        <sz val="11"/>
        <rFont val="Slimbach LT"/>
      </rPr>
      <t>(4,5 x 60 mm, 100 stk./pakke, blank)</t>
    </r>
  </si>
  <si>
    <r>
      <rPr>
        <sz val="11"/>
        <color theme="1"/>
        <rFont val="Arial"/>
        <family val="2"/>
      </rPr>
      <t>PREFA deksel til froskemunnsformet luke klinkes fast glatt
ventilasjonstverrsnitt ca. 30 cm²</t>
    </r>
  </si>
  <si>
    <r>
      <rPr>
        <sz val="11"/>
        <color theme="1"/>
        <rFont val="Arial"/>
        <family val="2"/>
      </rPr>
      <t>PREFA froskemunnsformet luke for takplate 300x420 mm
ventilasjonstverrsnitt ca. 30 cm²</t>
    </r>
  </si>
  <si>
    <r>
      <rPr>
        <sz val="11"/>
        <color theme="1"/>
        <rFont val="Arial"/>
        <family val="2"/>
      </rPr>
      <t>PREFA takluke (600x600 mm) komplett med treramme</t>
    </r>
  </si>
  <si>
    <r>
      <rPr>
        <sz val="11"/>
        <color theme="1"/>
        <rFont val="Arial"/>
        <family val="2"/>
      </rPr>
      <t>PREFA omramming for Velux-takvindu stucco</t>
    </r>
  </si>
  <si>
    <r>
      <rPr>
        <sz val="11"/>
        <color theme="1"/>
        <rFont val="Arial"/>
        <family val="2"/>
      </rPr>
      <t>PREFA omramming for Roto-takvindu stucco</t>
    </r>
  </si>
  <si>
    <r>
      <rPr>
        <sz val="11"/>
        <color theme="1"/>
        <rFont val="Arial"/>
        <family val="2"/>
      </rPr>
      <t>PREFA enkelttrinn inkl. to underdeler</t>
    </r>
  </si>
  <si>
    <r>
      <rPr>
        <sz val="11"/>
        <color theme="1"/>
        <rFont val="Arial"/>
        <family val="2"/>
      </rPr>
      <t>PREFA plattformstøtte galvanisert for plattform</t>
    </r>
  </si>
  <si>
    <r>
      <rPr>
        <sz val="11"/>
        <color theme="1"/>
        <rFont val="Arial"/>
        <family val="2"/>
      </rPr>
      <t>PREFA plattform (250 x 1200 mm)</t>
    </r>
  </si>
  <si>
    <r>
      <rPr>
        <sz val="11"/>
        <color theme="1"/>
        <rFont val="Arial"/>
        <family val="2"/>
      </rPr>
      <t>PREFALZ suppleringsbånd</t>
    </r>
  </si>
  <si>
    <r>
      <rPr>
        <sz val="11"/>
        <rFont val="Slimbach LT"/>
      </rPr>
      <t>0,7 x 500 mm</t>
    </r>
  </si>
  <si>
    <r>
      <rPr>
        <sz val="11"/>
        <rFont val="Slimbach LT"/>
      </rPr>
      <t>0,7 x 650 mm</t>
    </r>
  </si>
  <si>
    <r>
      <rPr>
        <sz val="11"/>
        <rFont val="Slimbach LT"/>
      </rPr>
      <t>0,7 x 1000 mm</t>
    </r>
  </si>
  <si>
    <r>
      <rPr>
        <sz val="11"/>
        <color theme="1"/>
        <rFont val="Arial"/>
        <family val="2"/>
      </rPr>
      <t>PREFA tilkobling galvanisert for plattform</t>
    </r>
  </si>
  <si>
    <r>
      <rPr>
        <sz val="11"/>
        <color theme="1"/>
        <rFont val="Arial"/>
        <family val="2"/>
      </rPr>
      <t>PREFA tak-sikkerhetskroker iht. EN 517B på underdeler</t>
    </r>
  </si>
  <si>
    <r>
      <rPr>
        <sz val="11"/>
        <color theme="1"/>
        <rFont val="Arial"/>
        <family val="2"/>
      </rPr>
      <t>PREFA tak-sikkerhetskroker iht. EN 517B</t>
    </r>
  </si>
  <si>
    <r>
      <rPr>
        <sz val="11"/>
        <color theme="1"/>
        <rFont val="Arial"/>
        <family val="2"/>
      </rPr>
      <t>PREFA innfatningsplate for takplate, glatt, Ø 80 - 125 mm</t>
    </r>
  </si>
  <si>
    <r>
      <rPr>
        <sz val="11"/>
        <color theme="1"/>
        <rFont val="Arial"/>
        <family val="2"/>
      </rPr>
      <t>PREFA universalinnfatning 2-delt, glatt, Ø 40 - 120 mm</t>
    </r>
  </si>
  <si>
    <r>
      <rPr>
        <sz val="11"/>
        <rFont val="Slimbach LT"/>
      </rPr>
      <t>MED varmeisolasjon</t>
    </r>
  </si>
  <si>
    <r>
      <rPr>
        <sz val="11"/>
        <rFont val="Slimbach LT"/>
      </rPr>
      <t>UTEN varmeisolasjon</t>
    </r>
  </si>
  <si>
    <r>
      <rPr>
        <sz val="11"/>
        <rFont val="Slimbach LT"/>
      </rPr>
      <t>Mål:</t>
    </r>
  </si>
  <si>
    <r>
      <rPr>
        <sz val="11"/>
        <rFont val="Slimbach LT"/>
      </rPr>
      <t>mosegrønn/lys grå</t>
    </r>
  </si>
  <si>
    <r>
      <rPr>
        <sz val="11"/>
        <rFont val="Slimbach LT"/>
      </rPr>
      <t>brun/antrasitt</t>
    </r>
  </si>
  <si>
    <r>
      <rPr>
        <sz val="11"/>
        <rFont val="Slimbach LT"/>
      </rPr>
      <t>teglsteinsrød/oksidrød</t>
    </r>
  </si>
  <si>
    <r>
      <rPr>
        <sz val="11"/>
        <rFont val="Slimbach LT"/>
      </rPr>
      <t>prefahvit/prefahvit</t>
    </r>
  </si>
  <si>
    <r>
      <rPr>
        <sz val="11"/>
        <color theme="1"/>
        <rFont val="Arial"/>
        <family val="2"/>
      </rPr>
      <t>PREFA ventilasjonshette Ø 100, glatt</t>
    </r>
  </si>
  <si>
    <r>
      <rPr>
        <sz val="11"/>
        <color theme="1"/>
        <rFont val="Arial"/>
        <family val="2"/>
      </rPr>
      <t>PREFA ventilasjonsrør ⌀ 100, passer til HT-rør NW 110</t>
    </r>
  </si>
  <si>
    <r>
      <rPr>
        <sz val="11"/>
        <color theme="1"/>
        <rFont val="Arial"/>
        <family val="2"/>
      </rPr>
      <t>PREFA ventilasjonsrør ⌀ 120, passer til HT-rør NW 125</t>
    </r>
  </si>
  <si>
    <r>
      <rPr>
        <sz val="11"/>
        <color theme="1"/>
        <rFont val="Arial"/>
        <family val="2"/>
      </rPr>
      <t>PREFA fleksibel rørmansjett Ø 100-130</t>
    </r>
  </si>
  <si>
    <r>
      <rPr>
        <sz val="11"/>
        <color theme="1"/>
        <rFont val="Arial"/>
        <family val="2"/>
      </rPr>
      <t>PREFA underlagsplate L=660 x B=125 mm, stucco</t>
    </r>
  </si>
  <si>
    <r>
      <rPr>
        <sz val="11"/>
        <color theme="1"/>
        <rFont val="Arial"/>
        <family val="2"/>
      </rPr>
      <t>PREFA underlagsplate L=540 x B=125 mm, stucco</t>
    </r>
  </si>
  <si>
    <r>
      <rPr>
        <sz val="11"/>
        <color theme="1"/>
        <rFont val="Arial"/>
        <family val="2"/>
      </rPr>
      <t>PREFA snøstopper for takplate og TAKSTEIN 29 × 29</t>
    </r>
  </si>
  <si>
    <r>
      <rPr>
        <sz val="11"/>
        <color theme="1"/>
        <rFont val="Arial"/>
        <family val="2"/>
      </rPr>
      <t>PREFA snøfangerfester</t>
    </r>
  </si>
  <si>
    <r>
      <rPr>
        <sz val="11"/>
        <color theme="1"/>
        <rFont val="Arial"/>
        <family val="2"/>
      </rPr>
      <t>PREFA rund stang (15 Ø x 3000 mm) for snøfangerfester</t>
    </r>
  </si>
  <si>
    <r>
      <rPr>
        <sz val="11"/>
        <color theme="1"/>
        <rFont val="Arial"/>
        <family val="2"/>
      </rPr>
      <t>PREFA endestykke for snøfanger</t>
    </r>
  </si>
  <si>
    <r>
      <rPr>
        <sz val="11"/>
        <color theme="1"/>
        <rFont val="Arial"/>
        <family val="2"/>
      </rPr>
      <t>PREFA snøfangersystem (205 x 66 x 303 mm)</t>
    </r>
  </si>
  <si>
    <r>
      <rPr>
        <sz val="11"/>
        <color theme="1"/>
        <rFont val="Arial"/>
        <family val="2"/>
      </rPr>
      <t>PREFA snøfangersystem innleggingsprofil (3000 mm)</t>
    </r>
  </si>
  <si>
    <r>
      <rPr>
        <sz val="11"/>
        <color theme="1"/>
        <rFont val="Arial"/>
        <family val="2"/>
      </rPr>
      <t>PREFA snøfangersystem isklo</t>
    </r>
  </si>
  <si>
    <r>
      <rPr>
        <sz val="11"/>
        <color theme="1"/>
        <rFont val="Arial"/>
        <family val="2"/>
      </rPr>
      <t>PREFA snøfangersystem endestykke</t>
    </r>
  </si>
  <si>
    <r>
      <rPr>
        <sz val="11"/>
        <color theme="1"/>
        <rFont val="Arial"/>
        <family val="2"/>
      </rPr>
      <t>PREFA fjellsnøfangerstøtte</t>
    </r>
  </si>
  <si>
    <r>
      <rPr>
        <sz val="11"/>
        <color theme="1"/>
        <rFont val="Arial"/>
        <family val="2"/>
      </rPr>
      <t>PREFA pipehatt 700 x 700 mm</t>
    </r>
  </si>
  <si>
    <r>
      <rPr>
        <sz val="11"/>
        <color theme="1"/>
        <rFont val="Arial"/>
        <family val="2"/>
      </rPr>
      <t>PREFA pipehatt 800 x 800 mm</t>
    </r>
  </si>
  <si>
    <r>
      <rPr>
        <sz val="11"/>
        <color theme="1"/>
        <rFont val="Arial"/>
        <family val="2"/>
      </rPr>
      <t>PREFA pipehatt 1000 x 700 mm</t>
    </r>
  </si>
  <si>
    <r>
      <rPr>
        <sz val="11"/>
        <color theme="1"/>
        <rFont val="Arial"/>
        <family val="2"/>
      </rPr>
      <t>PREFA pipehatt 1100 x 800 mm</t>
    </r>
  </si>
  <si>
    <r>
      <rPr>
        <sz val="11"/>
        <color theme="1"/>
        <rFont val="Arial"/>
        <family val="2"/>
      </rPr>
      <t>PREFA pipehatt 1500 x 800 mm</t>
    </r>
  </si>
  <si>
    <r>
      <rPr>
        <sz val="11"/>
        <color theme="1"/>
        <rFont val="Arial"/>
        <family val="2"/>
      </rPr>
      <t>Bøyd pipestag</t>
    </r>
  </si>
  <si>
    <r>
      <rPr>
        <sz val="11"/>
        <color theme="1"/>
        <rFont val="Arial"/>
        <family val="2"/>
      </rPr>
      <t>PREFA flatprofil (35 x 7 x 3000 mm)</t>
    </r>
  </si>
  <si>
    <r>
      <rPr>
        <sz val="11"/>
        <color theme="1"/>
        <rFont val="Arial"/>
        <family val="2"/>
      </rPr>
      <t>PREFA skålformet deksel, til å dekke festemidler</t>
    </r>
  </si>
  <si>
    <r>
      <rPr>
        <sz val="11"/>
        <color theme="1"/>
        <rFont val="Arial"/>
        <family val="2"/>
      </rPr>
      <t>PREFA silikontube</t>
    </r>
  </si>
  <si>
    <r>
      <rPr>
        <sz val="11"/>
        <color theme="1"/>
        <rFont val="Arial"/>
        <family val="2"/>
      </rPr>
      <t>PREFA spesiallimsett</t>
    </r>
  </si>
  <si>
    <r>
      <rPr>
        <sz val="11"/>
        <color theme="1"/>
        <rFont val="Arial"/>
        <family val="2"/>
      </rPr>
      <t>PREFA rillejern</t>
    </r>
  </si>
  <si>
    <r>
      <rPr>
        <sz val="11"/>
        <color theme="1"/>
        <rFont val="Arial"/>
        <family val="2"/>
      </rPr>
      <t>PREFA avspenningsjern</t>
    </r>
  </si>
  <si>
    <r>
      <rPr>
        <sz val="11"/>
        <color theme="1"/>
        <rFont val="Arial"/>
        <family val="2"/>
      </rPr>
      <t>PREFA perforert plate DM 5 mm
ca. 24 kg/rull (0,7x1000 mm)</t>
    </r>
  </si>
  <si>
    <r>
      <rPr>
        <sz val="11"/>
        <color theme="1"/>
        <rFont val="Calibri"/>
        <family val="2"/>
      </rPr>
      <t>Suppleringsbånd 1,0x1000 mm (kun for skjøteplate)</t>
    </r>
  </si>
  <si>
    <r>
      <rPr>
        <sz val="11"/>
        <rFont val="Slimbach LT"/>
      </rPr>
      <t>lys grå/lys grå</t>
    </r>
  </si>
  <si>
    <r>
      <rPr>
        <sz val="11"/>
        <color theme="1"/>
        <rFont val="Arial"/>
        <family val="2"/>
      </rPr>
      <t>Monteringsteknikk</t>
    </r>
  </si>
  <si>
    <r>
      <rPr>
        <sz val="11"/>
        <color theme="1"/>
        <rFont val="Calibri"/>
        <family val="2"/>
      </rPr>
      <t>Stand:</t>
    </r>
  </si>
  <si>
    <r>
      <rPr>
        <sz val="11"/>
        <color theme="1"/>
        <rFont val="Calibri"/>
        <family val="2"/>
      </rPr>
      <t>PREFALZ suppleringsbånd 1,0x1000 mm (kun for skjøteplate)</t>
    </r>
  </si>
  <si>
    <r>
      <rPr>
        <sz val="11"/>
        <color theme="1"/>
        <rFont val="Calibri"/>
        <family val="2"/>
      </rPr>
      <t>PREFALZ suppleringsbånd 0,7x1000 mm (for tilleggsbeslag)</t>
    </r>
  </si>
  <si>
    <r>
      <rPr>
        <sz val="11"/>
        <color theme="1"/>
        <rFont val="Calibri"/>
        <family val="2"/>
      </rPr>
      <t>12 sølv metallic</t>
    </r>
  </si>
  <si>
    <r>
      <rPr>
        <sz val="11"/>
        <color theme="1"/>
        <rFont val="Calibri"/>
        <family val="2"/>
      </rPr>
      <t>0,75 l boks</t>
    </r>
  </si>
  <si>
    <r>
      <rPr>
        <sz val="11"/>
        <color theme="1"/>
        <rFont val="Calibri"/>
        <family val="2"/>
      </rPr>
      <t>1500 mm</t>
    </r>
  </si>
  <si>
    <r>
      <rPr>
        <sz val="11"/>
        <color theme="1"/>
        <rFont val="Calibri"/>
        <family val="2"/>
      </rPr>
      <t>1: Velg ønsket produkt ved å klikke på fanen.</t>
    </r>
  </si>
  <si>
    <r>
      <rPr>
        <sz val="11"/>
        <color theme="1"/>
        <rFont val="Calibri"/>
        <family val="2"/>
      </rPr>
      <t>100-160 mm</t>
    </r>
  </si>
  <si>
    <r>
      <rPr>
        <sz val="11"/>
        <color theme="1"/>
        <rFont val="Calibri"/>
        <family val="2"/>
      </rPr>
      <t>100 ⌀ 700–1100 mm</t>
    </r>
  </si>
  <si>
    <r>
      <rPr>
        <sz val="11"/>
        <color theme="1"/>
        <rFont val="Calibri"/>
        <family val="2"/>
      </rPr>
      <t>100 ⌀ × 1450 mm</t>
    </r>
  </si>
  <si>
    <r>
      <rPr>
        <sz val="11"/>
        <color theme="1"/>
        <rFont val="Calibri"/>
        <family val="2"/>
      </rPr>
      <t>100 ⌀ 50-75 mm</t>
    </r>
  </si>
  <si>
    <r>
      <rPr>
        <sz val="11"/>
        <color theme="1"/>
        <rFont val="Calibri"/>
        <family val="2"/>
      </rPr>
      <t>195 mm lang</t>
    </r>
  </si>
  <si>
    <r>
      <rPr>
        <sz val="11"/>
        <color theme="1"/>
        <rFont val="Calibri"/>
        <family val="2"/>
      </rPr>
      <t>2: Samtlige felt som er markert med grått, kan fylles ut eller er markert med en forhåndsdefinert utvalgsliste.</t>
    </r>
  </si>
  <si>
    <r>
      <rPr>
        <sz val="11"/>
        <color theme="1"/>
        <rFont val="Calibri"/>
        <family val="2"/>
      </rPr>
      <t>200 mm</t>
    </r>
  </si>
  <si>
    <r>
      <rPr>
        <sz val="11"/>
        <color theme="1"/>
        <rFont val="Calibri"/>
        <family val="2"/>
      </rPr>
      <t>230 × 2000 × 0,7 mm</t>
    </r>
  </si>
  <si>
    <r>
      <rPr>
        <sz val="11"/>
        <color theme="1"/>
        <rFont val="Calibri"/>
        <family val="2"/>
      </rPr>
      <t>250 g</t>
    </r>
  </si>
  <si>
    <r>
      <rPr>
        <sz val="11"/>
        <color theme="1"/>
        <rFont val="Calibri"/>
        <family val="2"/>
      </rPr>
      <t>290 ml rekker til ca. 4 lm.</t>
    </r>
  </si>
  <si>
    <r>
      <rPr>
        <sz val="11"/>
        <color theme="1"/>
        <rFont val="Calibri"/>
        <family val="2"/>
      </rPr>
      <t>3 m</t>
    </r>
  </si>
  <si>
    <r>
      <rPr>
        <sz val="11"/>
        <color theme="1"/>
        <rFont val="Calibri"/>
        <family val="2"/>
      </rPr>
      <t>3000 mm</t>
    </r>
  </si>
  <si>
    <r>
      <rPr>
        <sz val="11"/>
        <color theme="1"/>
        <rFont val="Calibri"/>
        <family val="2"/>
      </rPr>
      <t>3: Samtlige valgfelt kan velges.</t>
    </r>
  </si>
  <si>
    <r>
      <rPr>
        <sz val="11"/>
        <color theme="1"/>
        <rFont val="Calibri"/>
        <family val="2"/>
      </rPr>
      <t>300 ml</t>
    </r>
  </si>
  <si>
    <r>
      <rPr>
        <sz val="11"/>
        <color theme="1"/>
        <rFont val="Calibri"/>
        <family val="2"/>
      </rPr>
      <t>333 mm / 100 × 100 mm</t>
    </r>
  </si>
  <si>
    <r>
      <rPr>
        <sz val="11"/>
        <color theme="1"/>
        <rFont val="Calibri"/>
        <family val="2"/>
      </rPr>
      <t>4 × 9,5 mm</t>
    </r>
  </si>
  <si>
    <r>
      <rPr>
        <sz val="11"/>
        <color theme="1"/>
        <rFont val="Calibri"/>
        <family val="2"/>
      </rPr>
      <t>4: Hvis fargen ble valgt som pulverlakkert, vises et ekstra felt for sjiktfargen.</t>
    </r>
  </si>
  <si>
    <r>
      <rPr>
        <sz val="11"/>
        <color theme="1"/>
        <rFont val="Calibri"/>
        <family val="2"/>
      </rPr>
      <t>400 mm / 100 × 100 mm</t>
    </r>
  </si>
  <si>
    <r>
      <rPr>
        <sz val="11"/>
        <color theme="1"/>
        <rFont val="Calibri"/>
        <family val="2"/>
      </rPr>
      <t>4: Mengdene kan etter ønske beregnes i stykker (stk.) eller rundes opp til neste forpakningsenhet (FPE).</t>
    </r>
  </si>
  <si>
    <r>
      <rPr>
        <sz val="11"/>
        <color theme="1"/>
        <rFont val="Calibri"/>
        <family val="2"/>
      </rPr>
      <t>50 ml boks med pensel</t>
    </r>
  </si>
  <si>
    <r>
      <rPr>
        <sz val="11"/>
        <color theme="1"/>
        <rFont val="Calibri"/>
        <family val="2"/>
      </rPr>
      <t>6000 × 375 mm</t>
    </r>
  </si>
  <si>
    <r>
      <rPr>
        <sz val="11"/>
        <color theme="1"/>
        <rFont val="Calibri"/>
        <family val="2"/>
      </rPr>
      <t>4: Andelsposisjoner kan merkes her.</t>
    </r>
  </si>
  <si>
    <r>
      <rPr>
        <sz val="11"/>
        <color theme="1"/>
        <rFont val="Calibri"/>
        <family val="2"/>
      </rPr>
      <t>60 mm radius</t>
    </r>
  </si>
  <si>
    <r>
      <rPr>
        <sz val="11"/>
        <color theme="1"/>
        <rFont val="Calibri"/>
        <family val="2"/>
      </rPr>
      <t>60 ⌀ × 3000 mm</t>
    </r>
  </si>
  <si>
    <r>
      <rPr>
        <sz val="11"/>
        <color theme="1"/>
        <rFont val="Calibri"/>
        <family val="2"/>
      </rPr>
      <t>5: På slutten av tabellen kan du føre inn artikler som ikke står i listen.</t>
    </r>
  </si>
  <si>
    <r>
      <rPr>
        <sz val="11"/>
        <color theme="1"/>
        <rFont val="Calibri"/>
        <family val="2"/>
      </rPr>
      <t>6: Tilleggsnotater kan føyes til her.</t>
    </r>
  </si>
  <si>
    <r>
      <rPr>
        <sz val="11"/>
        <color theme="1"/>
        <rFont val="Calibri"/>
        <family val="2"/>
      </rPr>
      <t>7: Posisjoner som ikke er nødvendige, kan fjernes med filteret.</t>
    </r>
  </si>
  <si>
    <r>
      <rPr>
        <sz val="11"/>
        <color theme="1"/>
        <rFont val="Calibri"/>
        <family val="2"/>
      </rPr>
      <t>Nedløpsdimensjon:</t>
    </r>
  </si>
  <si>
    <r>
      <rPr>
        <sz val="11"/>
        <color theme="1"/>
        <rFont val="Calibri"/>
        <family val="2"/>
      </rPr>
      <t>02 antrasitt</t>
    </r>
  </si>
  <si>
    <r>
      <rPr>
        <sz val="11"/>
        <color theme="1"/>
        <rFont val="Calibri"/>
        <family val="2"/>
      </rPr>
      <t>TAKDRENERING</t>
    </r>
  </si>
  <si>
    <r>
      <rPr>
        <sz val="11"/>
        <color theme="1"/>
        <rFont val="Calibri"/>
        <family val="2"/>
      </rPr>
      <t>TAKPLATE R.16</t>
    </r>
  </si>
  <si>
    <r>
      <rPr>
        <sz val="11"/>
        <color theme="1"/>
        <rFont val="Calibri"/>
        <family val="2"/>
      </rPr>
      <t>TAKSTEIN 29 × 29</t>
    </r>
  </si>
  <si>
    <r>
      <rPr>
        <sz val="11"/>
        <color theme="1"/>
        <rFont val="Calibri"/>
        <family val="2"/>
      </rPr>
      <t>TAKSTEIN 44 × 44</t>
    </r>
  </si>
  <si>
    <r>
      <rPr>
        <sz val="11"/>
        <color theme="1"/>
        <rFont val="Calibri"/>
        <family val="2"/>
      </rPr>
      <t>Dimensjon ikke mulig</t>
    </r>
  </si>
  <si>
    <r>
      <rPr>
        <sz val="11"/>
        <color theme="1"/>
        <rFont val="Calibri"/>
        <family val="2"/>
      </rPr>
      <t>Velg dimensjon:</t>
    </r>
  </si>
  <si>
    <r>
      <rPr>
        <sz val="11"/>
        <color theme="1"/>
        <rFont val="Calibri"/>
        <family val="2"/>
      </rPr>
      <t>07 lys grå</t>
    </r>
  </si>
  <si>
    <r>
      <rPr>
        <sz val="11"/>
        <color theme="1"/>
        <rFont val="Calibri"/>
        <family val="2"/>
      </rPr>
      <t>lang</t>
    </r>
  </si>
  <si>
    <r>
      <rPr>
        <sz val="11"/>
        <color theme="1"/>
        <rFont val="Calibri"/>
        <family val="2"/>
      </rPr>
      <t>Velg lengde:</t>
    </r>
  </si>
  <si>
    <r>
      <rPr>
        <sz val="11"/>
        <color theme="1"/>
        <rFont val="Calibri"/>
        <family val="2"/>
      </rPr>
      <t>06 mosegrønn</t>
    </r>
  </si>
  <si>
    <r>
      <rPr>
        <sz val="11"/>
        <color theme="1"/>
        <rFont val="Calibri"/>
        <family val="2"/>
      </rPr>
      <t>11 nøttebrun</t>
    </r>
  </si>
  <si>
    <r>
      <rPr>
        <sz val="11"/>
        <color theme="1"/>
        <rFont val="Calibri"/>
        <family val="2"/>
      </rPr>
      <t>ø 100 mm passer til HT/KG (NW 110 mm)</t>
    </r>
  </si>
  <si>
    <r>
      <rPr>
        <sz val="11"/>
        <color theme="1"/>
        <rFont val="Calibri"/>
        <family val="2"/>
      </rPr>
      <t>ø 115 mm passer til HT/KG (NW 125 mm)</t>
    </r>
  </si>
  <si>
    <r>
      <rPr>
        <sz val="11"/>
        <color theme="1"/>
        <rFont val="Calibri"/>
        <family val="2"/>
      </rPr>
      <t>05 oksidrød</t>
    </r>
  </si>
  <si>
    <r>
      <rPr>
        <sz val="11"/>
        <color theme="1"/>
        <rFont val="Calibri"/>
        <family val="2"/>
      </rPr>
      <t>PREFA deksel for rørklemmestift</t>
    </r>
  </si>
  <si>
    <r>
      <rPr>
        <sz val="11"/>
        <color theme="1"/>
        <rFont val="Calibri"/>
        <family val="2"/>
      </rPr>
      <t>PREFA nedløpskjetting 5 mm</t>
    </r>
  </si>
  <si>
    <r>
      <rPr>
        <sz val="11"/>
        <color theme="1"/>
        <rFont val="Calibri"/>
        <family val="2"/>
      </rPr>
      <t>PREFA nedløpsrør 1,6 mm DN 100</t>
    </r>
  </si>
  <si>
    <r>
      <rPr>
        <sz val="11"/>
        <color theme="1"/>
        <rFont val="Calibri"/>
        <family val="2"/>
      </rPr>
      <t>PREFA nedløpsrør DN 60 sveiset</t>
    </r>
  </si>
  <si>
    <r>
      <rPr>
        <sz val="11"/>
        <color theme="1"/>
        <rFont val="Calibri"/>
        <family val="2"/>
      </rPr>
      <t>PREFA nedløpsrør</t>
    </r>
  </si>
  <si>
    <r>
      <rPr>
        <sz val="11"/>
        <color theme="1"/>
        <rFont val="Calibri"/>
        <family val="2"/>
      </rPr>
      <t>PREFA takrenne i aluminium med utvendig beskyttelsesfolie</t>
    </r>
  </si>
  <si>
    <r>
      <rPr>
        <sz val="11"/>
        <color theme="1"/>
        <rFont val="Calibri"/>
        <family val="2"/>
      </rPr>
      <t>PREFA firkantrenne i aluminium</t>
    </r>
  </si>
  <si>
    <r>
      <rPr>
        <sz val="11"/>
        <color theme="1"/>
        <rFont val="Calibri"/>
        <family val="2"/>
      </rPr>
      <t>PREFA aluminiumsloddebolter</t>
    </r>
  </si>
  <si>
    <r>
      <rPr>
        <sz val="11"/>
        <color theme="1"/>
        <rFont val="Calibri"/>
        <family val="2"/>
      </rPr>
      <t>PREFA lynavlederklemme</t>
    </r>
  </si>
  <si>
    <r>
      <rPr>
        <sz val="11"/>
        <color theme="1"/>
        <rFont val="Calibri"/>
        <family val="2"/>
      </rPr>
      <t>PREFA stagbånd</t>
    </r>
  </si>
  <si>
    <r>
      <rPr>
        <sz val="11"/>
        <color theme="1"/>
        <rFont val="Calibri"/>
        <family val="2"/>
      </rPr>
      <t>PREFA deksel for takluke</t>
    </r>
  </si>
  <si>
    <r>
      <rPr>
        <sz val="10"/>
        <rFont val="Slimbach LT"/>
      </rPr>
      <t>PREFA deksel for takluke med treramme
(innvendig mål 600x600 mm)</t>
    </r>
  </si>
  <si>
    <r>
      <rPr>
        <sz val="10"/>
        <rFont val="Slimbach LT"/>
      </rPr>
      <t>PREFA deksel for takluke
(innvendig mål 600 x 600 mm)</t>
    </r>
  </si>
  <si>
    <r>
      <rPr>
        <sz val="11"/>
        <color theme="1"/>
        <rFont val="Calibri"/>
        <family val="2"/>
      </rPr>
      <t>PREFA takplate R.16 (700 × 420 mm)</t>
    </r>
  </si>
  <si>
    <r>
      <rPr>
        <sz val="11"/>
        <color theme="1"/>
        <rFont val="Calibri"/>
        <family val="2"/>
      </rPr>
      <t>PREFA takstein (29 × 29 mm, 120 stk./kart.)</t>
    </r>
  </si>
  <si>
    <r>
      <rPr>
        <sz val="11"/>
        <color theme="1"/>
        <rFont val="Calibri"/>
        <family val="2"/>
      </rPr>
      <t>PREFA takstein (440 × 440 mm, 42 stk./kart.)</t>
    </r>
  </si>
  <si>
    <r>
      <rPr>
        <sz val="11"/>
        <color theme="1"/>
        <rFont val="Calibri"/>
        <family val="2"/>
      </rPr>
      <t>PREFA TAKRENNESYSTEMER</t>
    </r>
  </si>
  <si>
    <r>
      <rPr>
        <sz val="11"/>
        <color theme="1"/>
        <rFont val="Calibri"/>
        <family val="2"/>
      </rPr>
      <t>PREFA takshingel (420 × 240 mm)</t>
    </r>
  </si>
  <si>
    <r>
      <rPr>
        <sz val="11"/>
        <color theme="1"/>
        <rFont val="Calibri"/>
        <family val="2"/>
      </rPr>
      <t>PREFA skjøtestykke</t>
    </r>
  </si>
  <si>
    <r>
      <rPr>
        <sz val="11"/>
        <color theme="1"/>
        <rFont val="Calibri"/>
        <family val="2"/>
      </rPr>
      <t>PREFA enkelt anslagspunkt (EAP) iht. EN 795, klasse A (til banebredde 650)</t>
    </r>
  </si>
  <si>
    <r>
      <rPr>
        <sz val="11"/>
        <color theme="1"/>
        <rFont val="Calibri"/>
        <family val="2"/>
      </rPr>
      <t>PREFA hjørnetilkobling for PREFA rør</t>
    </r>
  </si>
  <si>
    <r>
      <rPr>
        <sz val="11"/>
        <color theme="1"/>
        <rFont val="Arial"/>
        <family val="2"/>
      </rPr>
      <t>PREFA innfatningsplate for takplate R.16 og FX.12, glatt, ⌀ 80–125 mm</t>
    </r>
  </si>
  <si>
    <r>
      <rPr>
        <sz val="11"/>
        <color theme="1"/>
        <rFont val="Arial"/>
        <family val="2"/>
      </rPr>
      <t>PREFA innfatningsplate for takstein 29 × 29, glatt, ⌀ 80–125 mm</t>
    </r>
  </si>
  <si>
    <r>
      <rPr>
        <sz val="11"/>
        <color theme="1"/>
        <rFont val="Arial"/>
        <family val="2"/>
      </rPr>
      <t>PREFA innfatningsplate for takstein 44 × 44, glatt, ⌀ 80–125 mm</t>
    </r>
  </si>
  <si>
    <r>
      <rPr>
        <sz val="11"/>
        <color theme="1"/>
        <rFont val="Arial"/>
        <family val="2"/>
      </rPr>
      <t>PREFA innfatningsplate for takshingel</t>
    </r>
  </si>
  <si>
    <r>
      <rPr>
        <sz val="11"/>
        <color theme="1"/>
        <rFont val="Calibri"/>
        <family val="2"/>
      </rPr>
      <t>PREFA avrenningsplate 230 × 2000 × 0,7 mm</t>
    </r>
  </si>
  <si>
    <r>
      <rPr>
        <sz val="11"/>
        <color theme="1"/>
        <rFont val="Calibri"/>
        <family val="2"/>
      </rPr>
      <t>PREFA avrenningsplate glatt</t>
    </r>
  </si>
  <si>
    <r>
      <rPr>
        <sz val="11"/>
        <color theme="1"/>
        <rFont val="Calibri"/>
        <family val="2"/>
      </rPr>
      <t>PREFA isfanger</t>
    </r>
  </si>
  <si>
    <r>
      <rPr>
        <sz val="11"/>
        <color theme="1"/>
        <rFont val="Calibri"/>
        <family val="2"/>
      </rPr>
      <t>PREFA endeplate (1,48 stk./lm, 40 stk./kart.)</t>
    </r>
  </si>
  <si>
    <r>
      <rPr>
        <sz val="11"/>
        <color theme="1"/>
        <rFont val="Calibri"/>
        <family val="2"/>
      </rPr>
      <t>PREFA endeplate (2,2 stk./lm, 100 stk./kart.)</t>
    </r>
  </si>
  <si>
    <r>
      <rPr>
        <sz val="11"/>
        <color theme="1"/>
        <rFont val="Calibri"/>
        <family val="2"/>
      </rPr>
      <t>PREFA ventilasjonsrør ⌀ 100</t>
    </r>
  </si>
  <si>
    <r>
      <rPr>
        <sz val="11"/>
        <color theme="1"/>
        <rFont val="Calibri"/>
        <family val="2"/>
      </rPr>
      <t>PREFA ventilasjonsrør ⌀ 120</t>
    </r>
  </si>
  <si>
    <r>
      <rPr>
        <sz val="11"/>
        <color theme="1"/>
        <rFont val="Calibri"/>
        <family val="2"/>
      </rPr>
      <t>PREFA falsegel</t>
    </r>
  </si>
  <si>
    <r>
      <rPr>
        <sz val="11"/>
        <color theme="1"/>
        <rFont val="Arial"/>
        <family val="2"/>
      </rPr>
      <t>PREFA froskemunnsformet luke stucco for takshingel 420 x 240 mm
ventilasjonstverrsnitt ca. 30 cm²</t>
    </r>
  </si>
  <si>
    <r>
      <rPr>
        <sz val="11"/>
        <color theme="1"/>
        <rFont val="Calibri"/>
        <family val="2"/>
      </rPr>
      <t>PREFA froskemunnsformet luke klinkes fast, ventilasjonstverrsnitt ca. 30 cm²</t>
    </r>
  </si>
  <si>
    <r>
      <rPr>
        <sz val="11"/>
        <color theme="1"/>
        <rFont val="Calibri"/>
        <family val="2"/>
      </rPr>
      <t>PREFA FX.12 takpanel kort (700 × 420 mm)</t>
    </r>
  </si>
  <si>
    <r>
      <rPr>
        <sz val="11"/>
        <color theme="1"/>
        <rFont val="Calibri"/>
        <family val="2"/>
      </rPr>
      <t>PREFA FX.12 takpanel langt (1400 × 420 mm)</t>
    </r>
  </si>
  <si>
    <r>
      <rPr>
        <sz val="11"/>
        <color theme="1"/>
        <rFont val="Calibri"/>
        <family val="2"/>
      </rPr>
      <t>PREFA gummitetning passer til HT/KG (NW 110 mm)</t>
    </r>
  </si>
  <si>
    <r>
      <rPr>
        <sz val="11"/>
        <color theme="1"/>
        <rFont val="Calibri"/>
        <family val="2"/>
      </rPr>
      <t>PREFA festeklemme</t>
    </r>
  </si>
  <si>
    <r>
      <rPr>
        <sz val="11"/>
        <color theme="1"/>
        <rFont val="Calibri"/>
        <family val="2"/>
      </rPr>
      <t>PREFA skjøtestykke for takrenne med vulst og dekkplate</t>
    </r>
  </si>
  <si>
    <r>
      <rPr>
        <sz val="11"/>
        <color theme="1"/>
        <rFont val="Calibri"/>
        <family val="2"/>
      </rPr>
      <t>PREFA skjøtestykke for takrenne uten vulst og dekkplate</t>
    </r>
  </si>
  <si>
    <r>
      <rPr>
        <sz val="10"/>
        <rFont val="Slimbach LT"/>
      </rPr>
      <t>PREFA treramme
(innvendig mål 600 x 600 mm)</t>
    </r>
  </si>
  <si>
    <r>
      <rPr>
        <sz val="11"/>
        <color theme="1"/>
        <rFont val="Calibri"/>
        <family val="2"/>
      </rPr>
      <t>PREFA hydrolakk</t>
    </r>
  </si>
  <si>
    <r>
      <rPr>
        <sz val="11"/>
        <color theme="1"/>
        <rFont val="Calibri"/>
        <family val="2"/>
      </rPr>
      <t>PREFA skjøtestykke for firkantrenne med vulst og dekkplate</t>
    </r>
  </si>
  <si>
    <r>
      <rPr>
        <sz val="11"/>
        <color theme="1"/>
        <rFont val="Calibri"/>
        <family val="2"/>
      </rPr>
      <t>PREFA skjøtestykke for firkantrenne uten vulst og dekkplate</t>
    </r>
  </si>
  <si>
    <r>
      <rPr>
        <sz val="11"/>
        <color theme="1"/>
        <rFont val="Calibri"/>
        <family val="2"/>
      </rPr>
      <t>PREFA endebunn firkantrenne</t>
    </r>
  </si>
  <si>
    <r>
      <rPr>
        <sz val="11"/>
        <color theme="1"/>
        <rFont val="Calibri"/>
        <family val="2"/>
      </rPr>
      <t>PREFA tappstykke for firkantrenne</t>
    </r>
  </si>
  <si>
    <r>
      <rPr>
        <sz val="11"/>
        <color theme="1"/>
        <rFont val="Calibri"/>
        <family val="2"/>
      </rPr>
      <t>PREFA firkantrennevinkel utvendig 90°</t>
    </r>
  </si>
  <si>
    <r>
      <rPr>
        <sz val="11"/>
        <color theme="1"/>
        <rFont val="Calibri"/>
        <family val="2"/>
      </rPr>
      <t>PREFA firkantrennevinkel innvendig 90°</t>
    </r>
  </si>
  <si>
    <r>
      <rPr>
        <sz val="11"/>
        <color theme="1"/>
        <rFont val="Calibri"/>
        <family val="2"/>
      </rPr>
      <t>PREFA limt innfatning for falsede tak ⌀ 120–170 mm</t>
    </r>
  </si>
  <si>
    <r>
      <rPr>
        <sz val="11"/>
        <color theme="1"/>
        <rFont val="Calibri"/>
        <family val="2"/>
      </rPr>
      <t>PREFA limt innfatning for falsede tak ⌀ 170-210 mm</t>
    </r>
  </si>
  <si>
    <r>
      <rPr>
        <sz val="11"/>
        <color theme="1"/>
        <rFont val="Calibri"/>
        <family val="2"/>
      </rPr>
      <t>PREFA limt innfatning for falsede tak ⌀ 50-65 mm</t>
    </r>
  </si>
  <si>
    <r>
      <rPr>
        <sz val="11"/>
        <color theme="1"/>
        <rFont val="Calibri"/>
        <family val="2"/>
      </rPr>
      <t>PREFA limt innfatning for falsede tak ⌀ 80-125 mm</t>
    </r>
  </si>
  <si>
    <r>
      <rPr>
        <sz val="11"/>
        <color theme="1"/>
        <rFont val="Calibri"/>
        <family val="2"/>
      </rPr>
      <t>PREFA rund endebunn</t>
    </r>
  </si>
  <si>
    <r>
      <rPr>
        <sz val="11"/>
        <color theme="1"/>
        <rFont val="Calibri"/>
        <family val="2"/>
      </rPr>
      <t>PREFA løvfanger (kun i brunt)</t>
    </r>
  </si>
  <si>
    <r>
      <rPr>
        <sz val="11"/>
        <color theme="1"/>
        <rFont val="Calibri"/>
        <family val="2"/>
      </rPr>
      <t>PREFA plattformstøtte for plattform</t>
    </r>
  </si>
  <si>
    <r>
      <rPr>
        <sz val="11"/>
        <color theme="1"/>
        <rFont val="Calibri"/>
        <family val="2"/>
      </rPr>
      <t>PREFA M10 gjengestift</t>
    </r>
  </si>
  <si>
    <r>
      <rPr>
        <sz val="11"/>
        <color theme="1"/>
        <rFont val="Calibri"/>
        <family val="2"/>
      </rPr>
      <t>PREFA RUSTFRITT STÅL gaffelfeste</t>
    </r>
  </si>
  <si>
    <r>
      <rPr>
        <sz val="11"/>
        <color theme="1"/>
        <rFont val="Calibri"/>
        <family val="2"/>
      </rPr>
      <t>PREFA RUSTFRITT STÅL gaffelformet glidefeste</t>
    </r>
  </si>
  <si>
    <r>
      <rPr>
        <sz val="11"/>
        <color theme="1"/>
        <rFont val="Calibri"/>
        <family val="2"/>
      </rPr>
      <t>PREFA rustfritt stål langt vinkelformet glidefeste båndlengde 12 til 15 m</t>
    </r>
  </si>
  <si>
    <r>
      <rPr>
        <sz val="11"/>
        <color theme="1"/>
        <rFont val="Calibri"/>
        <family val="2"/>
      </rPr>
      <t>PREFA rustfritt stål vinkelformet glidefeste båndlengde inntil 12 m</t>
    </r>
  </si>
  <si>
    <r>
      <rPr>
        <sz val="11"/>
        <color theme="1"/>
        <rFont val="Calibri"/>
        <family val="2"/>
      </rPr>
      <t>PREFA RUSTFRITT STÅL feste for vinkelstående fals</t>
    </r>
  </si>
  <si>
    <r>
      <rPr>
        <sz val="11"/>
        <color theme="1"/>
        <rFont val="Calibri"/>
        <family val="2"/>
      </rPr>
      <t>PREFA monteringsshingel for sammenføyninger (840 × 240 mm)</t>
    </r>
  </si>
  <si>
    <r>
      <rPr>
        <sz val="11"/>
        <color theme="1"/>
        <rFont val="Calibri"/>
        <family val="2"/>
      </rPr>
      <t>PREFA patentert nagle</t>
    </r>
  </si>
  <si>
    <r>
      <rPr>
        <sz val="11"/>
        <color theme="1"/>
        <rFont val="Calibri"/>
        <family val="2"/>
      </rPr>
      <t>PREFA firkantrør</t>
    </r>
  </si>
  <si>
    <r>
      <rPr>
        <sz val="11"/>
        <color theme="1"/>
        <rFont val="Calibri"/>
        <family val="2"/>
      </rPr>
      <t>PREFA firkantrørtappstykke for firkantrenne</t>
    </r>
  </si>
  <si>
    <r>
      <rPr>
        <sz val="11"/>
        <color theme="1"/>
        <rFont val="Calibri"/>
        <family val="2"/>
      </rPr>
      <t>PREFA firkantrør med rengjøringsåpning</t>
    </r>
  </si>
  <si>
    <r>
      <rPr>
        <sz val="11"/>
        <color theme="1"/>
        <rFont val="Calibri"/>
        <family val="2"/>
      </rPr>
      <t>PREFA firkantrør-muffe</t>
    </r>
  </si>
  <si>
    <r>
      <rPr>
        <sz val="11"/>
        <color theme="1"/>
        <rFont val="Calibri"/>
        <family val="2"/>
      </rPr>
      <t>PREFA firkantrør-nedløpsåpning</t>
    </r>
  </si>
  <si>
    <r>
      <rPr>
        <sz val="11"/>
        <color theme="1"/>
        <rFont val="Calibri"/>
        <family val="2"/>
      </rPr>
      <t>PREFA firkantrør-vannoppsamler 220/220/330</t>
    </r>
  </si>
  <si>
    <r>
      <rPr>
        <sz val="11"/>
        <color theme="1"/>
        <rFont val="Calibri"/>
        <family val="2"/>
      </rPr>
      <t>PREFA firkantrørbend 72° kort</t>
    </r>
  </si>
  <si>
    <r>
      <rPr>
        <sz val="11"/>
        <color theme="1"/>
        <rFont val="Calibri"/>
        <family val="2"/>
      </rPr>
      <t>PREFA firkantrørbend 72° langt</t>
    </r>
  </si>
  <si>
    <r>
      <rPr>
        <sz val="11"/>
        <color theme="1"/>
        <rFont val="Calibri"/>
        <family val="2"/>
      </rPr>
      <t>PREFA fellbart utkast</t>
    </r>
  </si>
  <si>
    <r>
      <rPr>
        <sz val="11"/>
        <color theme="1"/>
        <rFont val="Calibri"/>
        <family val="2"/>
      </rPr>
      <t>PREFA endebunn</t>
    </r>
  </si>
  <si>
    <r>
      <rPr>
        <sz val="11"/>
        <color theme="1"/>
        <rFont val="Calibri"/>
        <family val="2"/>
      </rPr>
      <t>PREFA takrennefester</t>
    </r>
  </si>
  <si>
    <r>
      <rPr>
        <sz val="11"/>
        <color theme="1"/>
        <rFont val="Calibri"/>
        <family val="2"/>
      </rPr>
      <t>PREFA takrennefester for firkantrenne</t>
    </r>
  </si>
  <si>
    <r>
      <rPr>
        <sz val="11"/>
        <color theme="1"/>
        <rFont val="Calibri"/>
        <family val="2"/>
      </rPr>
      <t>PREFA takrennefester høykant</t>
    </r>
  </si>
  <si>
    <r>
      <rPr>
        <sz val="11"/>
        <color theme="1"/>
        <rFont val="Calibri"/>
        <family val="2"/>
      </rPr>
      <t>PREFA takrennefester Sveits</t>
    </r>
  </si>
  <si>
    <r>
      <rPr>
        <sz val="11"/>
        <color theme="1"/>
        <rFont val="Calibri"/>
        <family val="2"/>
      </rPr>
      <t>PREFA nagler for takrennefester 5,0 × 80</t>
    </r>
  </si>
  <si>
    <r>
      <rPr>
        <sz val="11"/>
        <color theme="1"/>
        <rFont val="Calibri"/>
        <family val="2"/>
      </rPr>
      <t>PREFA tappstykke</t>
    </r>
  </si>
  <si>
    <r>
      <rPr>
        <sz val="11"/>
        <color theme="1"/>
        <rFont val="Calibri"/>
        <family val="2"/>
      </rPr>
      <t>PREFA rennevinkel utvendig 90°</t>
    </r>
  </si>
  <si>
    <r>
      <rPr>
        <sz val="11"/>
        <color theme="1"/>
        <rFont val="Calibri"/>
        <family val="2"/>
      </rPr>
      <t>PREFA rennevinkel innvendig 90°</t>
    </r>
  </si>
  <si>
    <r>
      <rPr>
        <sz val="11"/>
        <color theme="1"/>
        <rFont val="Calibri"/>
        <family val="2"/>
      </rPr>
      <t>PREFA rør 28 × 2 × 3000 mm, inkl. muffe</t>
    </r>
  </si>
  <si>
    <r>
      <rPr>
        <sz val="11"/>
        <color theme="1"/>
        <rFont val="Calibri"/>
        <family val="2"/>
      </rPr>
      <t>PREFA bend 40°</t>
    </r>
  </si>
  <si>
    <r>
      <rPr>
        <sz val="11"/>
        <color theme="1"/>
        <rFont val="Calibri"/>
        <family val="2"/>
      </rPr>
      <t>PREFA bend 72°</t>
    </r>
  </si>
  <si>
    <r>
      <rPr>
        <sz val="11"/>
        <color theme="1"/>
        <rFont val="Calibri"/>
        <family val="2"/>
      </rPr>
      <t>PREFA bend 85°</t>
    </r>
  </si>
  <si>
    <r>
      <rPr>
        <sz val="11"/>
        <color theme="1"/>
        <rFont val="Calibri"/>
        <family val="2"/>
      </rPr>
      <t>PREFA grenrør</t>
    </r>
  </si>
  <si>
    <r>
      <rPr>
        <sz val="11"/>
        <color theme="1"/>
        <rFont val="Calibri"/>
        <family val="2"/>
      </rPr>
      <t>PREFA konisk grenrør</t>
    </r>
  </si>
  <si>
    <r>
      <rPr>
        <sz val="11"/>
        <color theme="1"/>
        <rFont val="Calibri"/>
        <family val="2"/>
      </rPr>
      <t>PREFA rørklemme for nedløpsrør</t>
    </r>
  </si>
  <si>
    <r>
      <rPr>
        <sz val="11"/>
        <color theme="1"/>
        <rFont val="Calibri"/>
        <family val="2"/>
      </rPr>
      <t>PREFA rørklemme med M10 gjenger uten stift</t>
    </r>
  </si>
  <si>
    <r>
      <rPr>
        <sz val="11"/>
        <color theme="1"/>
        <rFont val="Calibri"/>
        <family val="2"/>
      </rPr>
      <t>PREFA stift for rørklemme</t>
    </r>
  </si>
  <si>
    <r>
      <rPr>
        <sz val="11"/>
        <color theme="1"/>
        <rFont val="Calibri"/>
        <family val="2"/>
      </rPr>
      <t>PREFA plugg for rørklemme med stift (for WDVS)</t>
    </r>
  </si>
  <si>
    <r>
      <rPr>
        <sz val="11"/>
        <color theme="1"/>
        <rFont val="Calibri"/>
        <family val="2"/>
      </rPr>
      <t>PREFA feste for rørklemme (for WDVS)</t>
    </r>
  </si>
  <si>
    <r>
      <rPr>
        <sz val="11"/>
        <color theme="1"/>
        <rFont val="Calibri"/>
        <family val="2"/>
      </rPr>
      <t>PREFA rørkobling</t>
    </r>
  </si>
  <si>
    <r>
      <rPr>
        <sz val="11"/>
        <color theme="1"/>
        <rFont val="Calibri"/>
        <family val="2"/>
      </rPr>
      <t>PREFA dobbel falseklemme</t>
    </r>
  </si>
  <si>
    <r>
      <rPr>
        <sz val="11"/>
        <color theme="1"/>
        <rFont val="Calibri"/>
        <family val="2"/>
      </rPr>
      <t>PREFA enkel falseklemme</t>
    </r>
  </si>
  <si>
    <r>
      <rPr>
        <sz val="11"/>
        <color theme="1"/>
        <rFont val="Calibri"/>
        <family val="2"/>
      </rPr>
      <t>PREFA falseklemme for skråfals</t>
    </r>
  </si>
  <si>
    <r>
      <rPr>
        <sz val="11"/>
        <color theme="1"/>
        <rFont val="Calibri"/>
        <family val="2"/>
      </rPr>
      <t>PREFA fotrenne med utvendig beskyttelsesfolie</t>
    </r>
  </si>
  <si>
    <r>
      <rPr>
        <sz val="11"/>
        <color theme="1"/>
        <rFont val="Calibri"/>
        <family val="2"/>
      </rPr>
      <t>PREFA endebunn for fotrenne</t>
    </r>
  </si>
  <si>
    <r>
      <rPr>
        <sz val="11"/>
        <color theme="1"/>
        <rFont val="Calibri"/>
        <family val="2"/>
      </rPr>
      <t>PREFA fester for fotrenne</t>
    </r>
  </si>
  <si>
    <r>
      <rPr>
        <sz val="11"/>
        <color theme="1"/>
        <rFont val="Calibri"/>
        <family val="2"/>
      </rPr>
      <t>PREFA skjøteplate (1800 × 158 × 1,00 mm)</t>
    </r>
  </si>
  <si>
    <r>
      <rPr>
        <sz val="11"/>
        <color theme="1"/>
        <rFont val="Arial"/>
        <family val="2"/>
      </rPr>
      <t>PREFA snøstopper for takplate R.16 og FX.12</t>
    </r>
  </si>
  <si>
    <r>
      <rPr>
        <sz val="11"/>
        <color theme="1"/>
        <rFont val="Arial"/>
        <family val="2"/>
      </rPr>
      <t>PREFA snøstopper for takstein 29 × 29</t>
    </r>
  </si>
  <si>
    <r>
      <rPr>
        <sz val="11"/>
        <color theme="1"/>
        <rFont val="Arial"/>
        <family val="2"/>
      </rPr>
      <t>PREFA snøstopper for takstein 44 × 44</t>
    </r>
  </si>
  <si>
    <r>
      <rPr>
        <sz val="11"/>
        <color theme="1"/>
        <rFont val="Arial"/>
        <family val="2"/>
      </rPr>
      <t>PREFA snøstopper for takshingel</t>
    </r>
  </si>
  <si>
    <r>
      <rPr>
        <sz val="11"/>
        <color theme="1"/>
        <rFont val="Calibri"/>
        <family val="2"/>
      </rPr>
      <t>PREFA skråstuss</t>
    </r>
  </si>
  <si>
    <r>
      <rPr>
        <sz val="11"/>
        <color theme="1"/>
        <rFont val="Calibri"/>
        <family val="2"/>
      </rPr>
      <t>PREFA sokkelkne 60 mm radius</t>
    </r>
  </si>
  <si>
    <r>
      <rPr>
        <sz val="11"/>
        <color theme="1"/>
        <rFont val="Calibri"/>
        <family val="2"/>
      </rPr>
      <t>PREFA nedløpsåpning</t>
    </r>
  </si>
  <si>
    <r>
      <rPr>
        <sz val="11"/>
        <color theme="1"/>
        <rFont val="Calibri"/>
        <family val="2"/>
      </rPr>
      <t>PREFA nedløpsrør med rengjøringsåpning</t>
    </r>
  </si>
  <si>
    <r>
      <rPr>
        <sz val="11"/>
        <color theme="1"/>
        <rFont val="Calibri"/>
        <family val="2"/>
      </rPr>
      <t>PREFA krage til nedløpsrør</t>
    </r>
  </si>
  <si>
    <r>
      <rPr>
        <sz val="11"/>
        <color theme="1"/>
        <rFont val="Calibri"/>
        <family val="2"/>
      </rPr>
      <t>PREFA startplate (1,48 stk./lm, 40 stk./kart.)</t>
    </r>
  </si>
  <si>
    <r>
      <rPr>
        <sz val="11"/>
        <color theme="1"/>
        <rFont val="Calibri"/>
        <family val="2"/>
      </rPr>
      <t>PREFA startplate (2,2 stk./lm, 100 stk./kart.)</t>
    </r>
  </si>
  <si>
    <r>
      <rPr>
        <sz val="11"/>
        <color theme="1"/>
        <rFont val="Calibri"/>
        <family val="2"/>
      </rPr>
      <t>PREFA vindski-fester for takrenner</t>
    </r>
  </si>
  <si>
    <r>
      <rPr>
        <sz val="11"/>
        <color theme="1"/>
        <rFont val="Calibri"/>
        <family val="2"/>
      </rPr>
      <t>PREFA vindski-fester for firkantrenne</t>
    </r>
  </si>
  <si>
    <r>
      <rPr>
        <sz val="11"/>
        <color theme="1"/>
        <rFont val="Calibri"/>
        <family val="2"/>
      </rPr>
      <t>PREFA stuss for fotrenne</t>
    </r>
  </si>
  <si>
    <r>
      <rPr>
        <sz val="11"/>
        <color theme="1"/>
        <rFont val="Calibri"/>
        <family val="2"/>
      </rPr>
      <t>PREFA teleskopbend, justerbar lengde fra 700 til 1000 mm, DN 100</t>
    </r>
  </si>
  <si>
    <r>
      <rPr>
        <sz val="11"/>
        <color theme="1"/>
        <rFont val="Calibri"/>
        <family val="2"/>
      </rPr>
      <t>PREFA fuglegitter 125 × 2000 × 0,7 mm</t>
    </r>
  </si>
  <si>
    <r>
      <rPr>
        <sz val="11"/>
        <color theme="1"/>
        <rFont val="Calibri"/>
        <family val="2"/>
      </rPr>
      <t>PREFA vannoppsamler 220/220/330</t>
    </r>
  </si>
  <si>
    <r>
      <rPr>
        <sz val="11"/>
        <color theme="1"/>
        <rFont val="Calibri"/>
        <family val="2"/>
      </rPr>
      <t>PREFA vannsamler</t>
    </r>
  </si>
  <si>
    <r>
      <rPr>
        <sz val="11"/>
        <color theme="1"/>
        <rFont val="Calibri"/>
        <family val="2"/>
      </rPr>
      <t>Prefalz fargealuminiumsbånd 0,7 × 1000 mm</t>
    </r>
  </si>
  <si>
    <r>
      <rPr>
        <sz val="11"/>
        <color theme="1"/>
        <rFont val="Calibri"/>
        <family val="2"/>
      </rPr>
      <t>Prefalz fargealuminiumsbånd 0,7 × 1000 mm (for tilleggsbeslag)</t>
    </r>
  </si>
  <si>
    <r>
      <rPr>
        <sz val="11"/>
        <color theme="1"/>
        <rFont val="Calibri"/>
        <family val="2"/>
      </rPr>
      <t>Prefalz fargealuminiumsbånd 0,7 × 500 mm</t>
    </r>
  </si>
  <si>
    <r>
      <rPr>
        <sz val="11"/>
        <color theme="1"/>
        <rFont val="Calibri"/>
        <family val="2"/>
      </rPr>
      <t>Prefalz fargealuminiumsbånd 0,7 × 650 mm</t>
    </r>
  </si>
  <si>
    <r>
      <rPr>
        <sz val="11"/>
        <color theme="1"/>
        <rFont val="Calibri"/>
        <family val="2"/>
      </rPr>
      <t>10 prefahvit</t>
    </r>
  </si>
  <si>
    <r>
      <rPr>
        <sz val="11"/>
        <color theme="1"/>
        <rFont val="Calibri"/>
        <family val="2"/>
      </rPr>
      <t>10 P.10 prefahvit</t>
    </r>
  </si>
  <si>
    <r>
      <rPr>
        <sz val="11"/>
        <color theme="1"/>
        <rFont val="Calibri"/>
        <family val="2"/>
      </rPr>
      <t>FIRKANTRØR</t>
    </r>
  </si>
  <si>
    <r>
      <rPr>
        <sz val="11"/>
        <color theme="1"/>
        <rFont val="Calibri"/>
        <family val="2"/>
      </rPr>
      <t>Takrennedimensjon:</t>
    </r>
  </si>
  <si>
    <r>
      <rPr>
        <sz val="11"/>
        <color theme="1"/>
        <rFont val="Calibri"/>
        <family val="2"/>
      </rPr>
      <t>Velg takrennelengde:</t>
    </r>
  </si>
  <si>
    <r>
      <rPr>
        <sz val="11"/>
        <color theme="1"/>
        <rFont val="Calibri"/>
        <family val="2"/>
      </rPr>
      <t>Velg rørlengde:</t>
    </r>
  </si>
  <si>
    <r>
      <rPr>
        <sz val="11"/>
        <color theme="1"/>
        <rFont val="Calibri"/>
        <family val="2"/>
      </rPr>
      <t>PREFA veggmonteringsplate</t>
    </r>
  </si>
  <si>
    <r>
      <rPr>
        <sz val="11"/>
        <color theme="1"/>
        <rFont val="Calibri"/>
        <family val="2"/>
      </rPr>
      <t>04 teglsteinsrød</t>
    </r>
  </si>
  <si>
    <r>
      <rPr>
        <sz val="11"/>
        <color theme="1"/>
        <rFont val="Calibri"/>
        <family val="2"/>
      </rPr>
      <t>08 sinkgrå</t>
    </r>
  </si>
  <si>
    <r>
      <rPr>
        <sz val="11"/>
        <color theme="1"/>
        <rFont val="Calibri"/>
        <family val="2"/>
      </rPr>
      <t>08 P.10 sinkgrå</t>
    </r>
  </si>
  <si>
    <r>
      <rPr>
        <sz val="11"/>
        <color theme="1"/>
        <rFont val="Calibri"/>
        <family val="2"/>
      </rPr>
      <t>PREFA feste for takstein 29 × 29</t>
    </r>
  </si>
  <si>
    <r>
      <rPr>
        <sz val="11"/>
        <color theme="1"/>
        <rFont val="Calibri"/>
        <family val="2"/>
      </rPr>
      <t>PREFA riflet spiker RUSTFRITT STÅL</t>
    </r>
  </si>
  <si>
    <r>
      <rPr>
        <sz val="11"/>
        <color theme="1"/>
        <rFont val="Calibri"/>
        <family val="2"/>
      </rPr>
      <t>PREFA endebunn firkantrenne 500 venstre</t>
    </r>
  </si>
  <si>
    <r>
      <rPr>
        <sz val="11"/>
        <color theme="1"/>
        <rFont val="Calibri"/>
        <family val="2"/>
      </rPr>
      <t>PREFA endebunn firkantrenne 500 høyre</t>
    </r>
  </si>
  <si>
    <r>
      <rPr>
        <sz val="11"/>
        <color theme="1"/>
        <rFont val="Calibri"/>
        <family val="2"/>
      </rPr>
      <t>45 bronse</t>
    </r>
  </si>
  <si>
    <r>
      <rPr>
        <sz val="11"/>
        <color theme="1"/>
        <rFont val="Calibri"/>
        <family val="2"/>
      </rPr>
      <t>46 patina grønn</t>
    </r>
  </si>
  <si>
    <r>
      <rPr>
        <sz val="11"/>
        <color theme="1"/>
        <rFont val="Calibri"/>
        <family val="2"/>
      </rPr>
      <t>Artikkelnr.</t>
    </r>
  </si>
  <si>
    <r>
      <rPr>
        <sz val="11"/>
        <color theme="1"/>
        <rFont val="Calibri"/>
        <family val="2"/>
      </rPr>
      <t>Sprog</t>
    </r>
  </si>
  <si>
    <r>
      <rPr>
        <sz val="11"/>
        <color theme="1"/>
        <rFont val="Calibri"/>
        <family val="2"/>
      </rPr>
      <t>PREFA TAGSYSTEMER</t>
    </r>
  </si>
  <si>
    <r>
      <rPr>
        <sz val="11"/>
        <color theme="1"/>
        <rFont val="Calibri"/>
        <family val="2"/>
      </rPr>
      <t>TAGPLADE</t>
    </r>
  </si>
  <si>
    <r>
      <rPr>
        <sz val="11"/>
        <color theme="1"/>
        <rFont val="Calibri"/>
        <family val="2"/>
      </rPr>
      <t>RETURNERING PR. FAX:</t>
    </r>
  </si>
  <si>
    <r>
      <rPr>
        <sz val="11"/>
        <color theme="1"/>
        <rFont val="Calibri"/>
        <family val="2"/>
      </rPr>
      <t>ELLER E-MAIL:</t>
    </r>
  </si>
  <si>
    <r>
      <rPr>
        <sz val="11"/>
        <color theme="1"/>
        <rFont val="Calibri"/>
        <family val="2"/>
      </rPr>
      <t>Firma / Bestiller:</t>
    </r>
  </si>
  <si>
    <r>
      <rPr>
        <sz val="11"/>
        <color theme="1"/>
        <rFont val="Calibri"/>
        <family val="2"/>
      </rPr>
      <t>Gade:</t>
    </r>
  </si>
  <si>
    <r>
      <rPr>
        <sz val="11"/>
        <color theme="1"/>
        <rFont val="Calibri"/>
        <family val="2"/>
      </rPr>
      <t>E-mail:</t>
    </r>
  </si>
  <si>
    <r>
      <rPr>
        <sz val="11"/>
        <color theme="1"/>
        <rFont val="Calibri"/>
        <family val="2"/>
      </rPr>
      <t>Overflade:</t>
    </r>
  </si>
  <si>
    <r>
      <rPr>
        <sz val="11"/>
        <color theme="1"/>
        <rFont val="Calibri"/>
        <family val="2"/>
      </rPr>
      <t>glat</t>
    </r>
  </si>
  <si>
    <r>
      <rPr>
        <sz val="11"/>
        <color theme="1"/>
        <rFont val="Calibri"/>
        <family val="2"/>
      </rPr>
      <t>Mængder i:</t>
    </r>
  </si>
  <si>
    <r>
      <rPr>
        <sz val="11"/>
        <color theme="1"/>
        <rFont val="Calibri"/>
        <family val="2"/>
      </rPr>
      <t>Pakkeenhed</t>
    </r>
  </si>
  <si>
    <r>
      <rPr>
        <sz val="11"/>
        <color theme="1"/>
        <rFont val="Calibri"/>
        <family val="2"/>
      </rPr>
      <t>STK.</t>
    </r>
  </si>
  <si>
    <r>
      <rPr>
        <sz val="11"/>
        <color theme="1"/>
        <rFont val="Calibri"/>
        <family val="2"/>
      </rPr>
      <t>Farve:</t>
    </r>
  </si>
  <si>
    <r>
      <rPr>
        <sz val="11"/>
        <color theme="1"/>
        <rFont val="Calibri"/>
        <family val="2"/>
      </rPr>
      <t>02 P.10 antrazit</t>
    </r>
  </si>
  <si>
    <r>
      <rPr>
        <sz val="11"/>
        <color theme="1"/>
        <rFont val="Calibri"/>
        <family val="2"/>
      </rPr>
      <t>03 P.10 sort</t>
    </r>
  </si>
  <si>
    <r>
      <rPr>
        <sz val="11"/>
        <color theme="1"/>
        <rFont val="Calibri"/>
        <family val="2"/>
      </rPr>
      <t>04 P.10 teglrød</t>
    </r>
  </si>
  <si>
    <r>
      <rPr>
        <sz val="11"/>
        <color theme="1"/>
        <rFont val="Calibri"/>
        <family val="2"/>
      </rPr>
      <t>05 P.10 oxidrød</t>
    </r>
  </si>
  <si>
    <r>
      <rPr>
        <sz val="11"/>
        <color theme="1"/>
        <rFont val="Calibri"/>
        <family val="2"/>
      </rPr>
      <t>06 P.10 mosgrøn</t>
    </r>
  </si>
  <si>
    <r>
      <rPr>
        <sz val="11"/>
        <color theme="1"/>
        <rFont val="Calibri"/>
        <family val="2"/>
      </rPr>
      <t>11 P.10 nøddebrun</t>
    </r>
  </si>
  <si>
    <r>
      <rPr>
        <sz val="11"/>
        <color theme="1"/>
        <rFont val="Calibri"/>
        <family val="2"/>
      </rPr>
      <t>pulverbelagt</t>
    </r>
  </si>
  <si>
    <r>
      <rPr>
        <sz val="11"/>
        <color theme="1"/>
        <rFont val="Calibri"/>
        <family val="2"/>
      </rPr>
      <t>Farve</t>
    </r>
  </si>
  <si>
    <r>
      <rPr>
        <sz val="11"/>
        <color theme="1"/>
        <rFont val="Calibri"/>
        <family val="2"/>
      </rPr>
      <t>Mængde</t>
    </r>
  </si>
  <si>
    <r>
      <rPr>
        <sz val="11"/>
        <color theme="1"/>
        <rFont val="Calibri"/>
        <family val="2"/>
      </rPr>
      <t>Enhed</t>
    </r>
  </si>
  <si>
    <r>
      <rPr>
        <sz val="11"/>
        <color theme="1"/>
        <rFont val="Calibri"/>
        <family val="2"/>
      </rPr>
      <t>Illustration</t>
    </r>
  </si>
  <si>
    <r>
      <rPr>
        <sz val="11"/>
        <color theme="1"/>
        <rFont val="Calibri"/>
        <family val="2"/>
      </rPr>
      <t>I alt</t>
    </r>
  </si>
  <si>
    <r>
      <rPr>
        <sz val="11"/>
        <color theme="1"/>
        <rFont val="Calibri"/>
        <family val="2"/>
      </rPr>
      <t>Eventual</t>
    </r>
  </si>
  <si>
    <r>
      <rPr>
        <sz val="11"/>
        <color theme="1"/>
        <rFont val="Calibri"/>
        <family val="2"/>
      </rPr>
      <t>lbm</t>
    </r>
  </si>
  <si>
    <r>
      <rPr>
        <sz val="11"/>
        <color theme="1"/>
        <rFont val="Calibri"/>
        <family val="2"/>
      </rPr>
      <t>Karton</t>
    </r>
  </si>
  <si>
    <r>
      <rPr>
        <sz val="11"/>
        <color theme="1"/>
        <rFont val="Calibri"/>
        <family val="2"/>
      </rPr>
      <t>Pkt.</t>
    </r>
  </si>
  <si>
    <r>
      <rPr>
        <sz val="11"/>
        <color theme="1"/>
        <rFont val="Calibri"/>
        <family val="2"/>
      </rPr>
      <t>Sæt</t>
    </r>
  </si>
  <si>
    <r>
      <rPr>
        <sz val="11"/>
        <color theme="1"/>
        <rFont val="Calibri"/>
        <family val="2"/>
      </rPr>
      <t>Rulle</t>
    </r>
  </si>
  <si>
    <r>
      <rPr>
        <sz val="11"/>
        <color theme="1"/>
        <rFont val="Calibri"/>
        <family val="2"/>
      </rPr>
      <t>Ekstra anmærkning:</t>
    </r>
  </si>
  <si>
    <r>
      <rPr>
        <sz val="11"/>
        <color theme="1"/>
        <rFont val="Calibri"/>
        <family val="2"/>
      </rPr>
      <t>PREFA tagplade (600 x 420 mm, 40 stk./kart.) inkl. rillesøm (28/30) og patentspænde</t>
    </r>
  </si>
  <si>
    <r>
      <rPr>
        <sz val="11"/>
        <color theme="1"/>
        <rFont val="Calibri"/>
        <family val="2"/>
      </rPr>
      <t>PREFA kantstrimmel, brun, forhullet (1.806x150x1,20 mm)</t>
    </r>
  </si>
  <si>
    <r>
      <rPr>
        <sz val="11"/>
        <color theme="1"/>
        <rFont val="Calibri"/>
        <family val="2"/>
      </rPr>
      <t>PREFA kantstrimmel, rillet (til aftrapning 600 x 150 mm)</t>
    </r>
  </si>
  <si>
    <r>
      <rPr>
        <sz val="11"/>
        <color theme="1"/>
        <rFont val="Calibri"/>
        <family val="2"/>
      </rPr>
      <t>PREFA patentspænde til tagplade og tagspån</t>
    </r>
  </si>
  <si>
    <r>
      <rPr>
        <sz val="11"/>
        <color theme="1"/>
        <rFont val="Calibri"/>
        <family val="2"/>
      </rPr>
      <t>Spændemagasin til opfyldning af Bull Tack sømpistol
80 stk./spændemagasin, 30 mag./karton</t>
    </r>
  </si>
  <si>
    <r>
      <rPr>
        <sz val="11"/>
        <rFont val="Slimbach LT"/>
      </rPr>
      <t>vælge</t>
    </r>
  </si>
  <si>
    <r>
      <rPr>
        <sz val="11"/>
        <rFont val="Slimbach LT"/>
      </rPr>
      <t>Mængdeundersøgelse/Forespørgsel</t>
    </r>
  </si>
  <si>
    <r>
      <rPr>
        <sz val="11"/>
        <rFont val="Slimbach LT"/>
      </rPr>
      <t>Mange tak for din mængdeundersøgelse</t>
    </r>
  </si>
  <si>
    <r>
      <rPr>
        <sz val="11"/>
        <rFont val="Slimbach LT"/>
      </rPr>
      <t>Mange tak for din bestilling</t>
    </r>
  </si>
  <si>
    <r>
      <rPr>
        <sz val="11"/>
        <rFont val="Slimbach LT"/>
      </rPr>
      <t>PREFA rillesøm galvaniseret</t>
    </r>
  </si>
  <si>
    <r>
      <rPr>
        <sz val="11"/>
        <rFont val="Slimbach LT"/>
      </rPr>
      <t>28/25 (1 kg = ca. 570 stk.)</t>
    </r>
  </si>
  <si>
    <r>
      <rPr>
        <sz val="11"/>
        <rFont val="Slimbach LT"/>
      </rPr>
      <t>28/30 (1 kg = ca. 480 stk.)</t>
    </r>
  </si>
  <si>
    <r>
      <rPr>
        <sz val="11"/>
        <rFont val="Slimbach LT"/>
      </rPr>
      <t>28/40 (1 kg = ca. 380 stk.)</t>
    </r>
  </si>
  <si>
    <r>
      <rPr>
        <sz val="11"/>
        <rFont val="Slimbach LT"/>
      </rPr>
      <t>Søm til Bull Tack Power sømpistol</t>
    </r>
  </si>
  <si>
    <r>
      <rPr>
        <sz val="11"/>
        <rFont val="Slimbach LT"/>
      </rPr>
      <t>Længde 26 mm (3.200 stk./karton)</t>
    </r>
  </si>
  <si>
    <r>
      <rPr>
        <sz val="11"/>
        <rFont val="Slimbach LT"/>
      </rPr>
      <t>Længde 35 mm (2.400 stk./karton)</t>
    </r>
  </si>
  <si>
    <r>
      <rPr>
        <sz val="11"/>
        <rFont val="Slimbach LT"/>
      </rPr>
      <t>Længde 26 mm (3.200 stk./karton) NIRO</t>
    </r>
  </si>
  <si>
    <r>
      <rPr>
        <sz val="11"/>
        <color theme="1"/>
        <rFont val="Arial"/>
        <family val="2"/>
      </rPr>
      <t>PREFA indløbsplade glat 230 × 2.000 × 0,7 mm</t>
    </r>
  </si>
  <si>
    <r>
      <rPr>
        <sz val="11"/>
        <color theme="1"/>
        <rFont val="Arial"/>
        <family val="2"/>
      </rPr>
      <t>PREFA ventilationsbånd</t>
    </r>
  </si>
  <si>
    <r>
      <rPr>
        <sz val="11"/>
        <rFont val="Slimbach LT"/>
      </rPr>
      <t>1x250 (A=140 B=85 C=25 mm)</t>
    </r>
  </si>
  <si>
    <r>
      <rPr>
        <sz val="11"/>
        <rFont val="Slimbach LT"/>
      </rPr>
      <t>1x333 (A=223 B=85 C=25 mm)</t>
    </r>
  </si>
  <si>
    <r>
      <rPr>
        <sz val="11"/>
        <color theme="1"/>
        <rFont val="Arial"/>
        <family val="2"/>
      </rPr>
      <t>PREFA fuglebeskyttelsesgitter brun/antrazit (125x2.000x0,7mm)</t>
    </r>
  </si>
  <si>
    <r>
      <rPr>
        <sz val="11"/>
        <color theme="1"/>
        <rFont val="Arial"/>
        <family val="2"/>
      </rPr>
      <t>PREFA gavludhængsstrimmel (95 x 2.000 x 0,70 mm)</t>
    </r>
  </si>
  <si>
    <r>
      <rPr>
        <sz val="11"/>
        <color theme="1"/>
        <rFont val="Arial"/>
        <family val="2"/>
      </rPr>
      <t>PREFA sikkerhedskel stucco (3.000 mm lang)</t>
    </r>
  </si>
  <si>
    <r>
      <rPr>
        <sz val="11"/>
        <color theme="1"/>
        <rFont val="Arial"/>
        <family val="2"/>
      </rPr>
      <t>PREFA rygnings- og mønningsrytter 500 x 1,00 mm stucco
inkl. Niro-skrue 4,5x45 mm og tætningsskive</t>
    </r>
  </si>
  <si>
    <r>
      <rPr>
        <sz val="11"/>
        <color theme="1"/>
        <rFont val="Arial"/>
        <family val="2"/>
      </rPr>
      <t>PREFA rygnings-/mønningsrytter start-/slutstykke stucco</t>
    </r>
  </si>
  <si>
    <r>
      <rPr>
        <sz val="11"/>
        <color theme="1"/>
        <rFont val="Arial"/>
        <family val="2"/>
      </rPr>
      <t>PREFA jet-ventilator (1.200 mm) inkl. Niro-skrue og tætningsskive.</t>
    </r>
  </si>
  <si>
    <r>
      <rPr>
        <sz val="11"/>
        <color theme="1"/>
        <rFont val="Arial"/>
        <family val="2"/>
      </rPr>
      <t>PREFA jet-ventilator (3.000mm) inkl. Niro-skrue og tætningsskive.</t>
    </r>
  </si>
  <si>
    <r>
      <rPr>
        <sz val="11"/>
        <color theme="1"/>
        <rFont val="Arial"/>
        <family val="2"/>
      </rPr>
      <t>PREFA jet-ventilator endestykke stucco</t>
    </r>
  </si>
  <si>
    <r>
      <rPr>
        <sz val="11"/>
        <color theme="1"/>
        <rFont val="Arial"/>
        <family val="2"/>
      </rPr>
      <t>Niro-skrue med tætningsskive til rygnings-/mønningsrytter</t>
    </r>
  </si>
  <si>
    <r>
      <rPr>
        <sz val="11"/>
        <color theme="1"/>
        <rFont val="Arial"/>
        <family val="2"/>
      </rPr>
      <t>Niro-skrue med tætningsskive til jet-ventilator</t>
    </r>
  </si>
  <si>
    <r>
      <rPr>
        <sz val="11"/>
        <color theme="1"/>
        <rFont val="Arial"/>
        <family val="2"/>
      </rPr>
      <t>PREFA frømundslugekappe til pånitning glat
Ventilationstværsnit ca. 30 cm²</t>
    </r>
  </si>
  <si>
    <r>
      <rPr>
        <sz val="11"/>
        <color theme="1"/>
        <rFont val="Arial"/>
        <family val="2"/>
      </rPr>
      <t>PREFA frømundsluge til tagplade 300x420 mm
Ventilationstværsnit ca. 30 cm²</t>
    </r>
  </si>
  <si>
    <r>
      <rPr>
        <sz val="11"/>
        <color theme="1"/>
        <rFont val="Arial"/>
        <family val="2"/>
      </rPr>
      <t>PREFA tagluge (600x600 mm) komplet med træramme</t>
    </r>
  </si>
  <si>
    <r>
      <rPr>
        <sz val="11"/>
        <color theme="1"/>
        <rFont val="Arial"/>
        <family val="2"/>
      </rPr>
      <t>PREFA indfatning til Velux-tagfladevindue stucco</t>
    </r>
  </si>
  <si>
    <r>
      <rPr>
        <sz val="11"/>
        <color theme="1"/>
        <rFont val="Arial"/>
        <family val="2"/>
      </rPr>
      <t>PREFA indfatning til Roto-tagfladevindue stucco</t>
    </r>
  </si>
  <si>
    <r>
      <rPr>
        <sz val="11"/>
        <color theme="1"/>
        <rFont val="Arial"/>
        <family val="2"/>
      </rPr>
      <t>PREFA enkelttrin inkl. to foddele</t>
    </r>
  </si>
  <si>
    <r>
      <rPr>
        <sz val="11"/>
        <color theme="1"/>
        <rFont val="Arial"/>
        <family val="2"/>
      </rPr>
      <t>PREFA løbebrostøtte galvaniseret til løbebroer</t>
    </r>
  </si>
  <si>
    <r>
      <rPr>
        <sz val="11"/>
        <color theme="1"/>
        <rFont val="Arial"/>
        <family val="2"/>
      </rPr>
      <t>PREFA løbebro (250 x 1.200 mm)</t>
    </r>
  </si>
  <si>
    <r>
      <rPr>
        <sz val="11"/>
        <color theme="1"/>
        <rFont val="Arial"/>
        <family val="2"/>
      </rPr>
      <t>PREFA løbebro (250 x 800 mm)</t>
    </r>
  </si>
  <si>
    <r>
      <rPr>
        <sz val="11"/>
        <color theme="1"/>
        <rFont val="Arial"/>
        <family val="2"/>
      </rPr>
      <t>PREFA løbebro (250 x 600 mm)</t>
    </r>
  </si>
  <si>
    <r>
      <rPr>
        <sz val="11"/>
        <color theme="1"/>
        <rFont val="Arial"/>
        <family val="2"/>
      </rPr>
      <t>PREFA løbebro (250 x 420 mm)</t>
    </r>
  </si>
  <si>
    <r>
      <rPr>
        <sz val="11"/>
        <color theme="1"/>
        <rFont val="Arial"/>
        <family val="2"/>
      </rPr>
      <t>PREFA forbinder galvaniseret til løbebro</t>
    </r>
  </si>
  <si>
    <r>
      <rPr>
        <sz val="11"/>
        <color theme="1"/>
        <rFont val="Arial"/>
        <family val="2"/>
      </rPr>
      <t>PREFA tagsikkerhedskrog i henhold til EN 517B på foddele</t>
    </r>
  </si>
  <si>
    <r>
      <rPr>
        <sz val="11"/>
        <color theme="1"/>
        <rFont val="Arial"/>
        <family val="2"/>
      </rPr>
      <t>PREFA tagsikkerhedskrog i henhold til EN 517B</t>
    </r>
  </si>
  <si>
    <r>
      <rPr>
        <sz val="11"/>
        <color theme="1"/>
        <rFont val="Arial"/>
        <family val="2"/>
      </rPr>
      <t>PREFA indfatningsplade til tagplade, glat, Ø 80 - 125 mm</t>
    </r>
  </si>
  <si>
    <r>
      <rPr>
        <sz val="11"/>
        <color theme="1"/>
        <rFont val="Arial"/>
        <family val="2"/>
      </rPr>
      <t>PREFA indfatningsplade todelt, glat, Ø 40 - 120 mm</t>
    </r>
  </si>
  <si>
    <r>
      <rPr>
        <sz val="11"/>
        <rFont val="Slimbach LT"/>
      </rPr>
      <t>MED varmeisolering</t>
    </r>
  </si>
  <si>
    <r>
      <rPr>
        <sz val="11"/>
        <rFont val="Slimbach LT"/>
      </rPr>
      <t>UDEN varmeisolering</t>
    </r>
  </si>
  <si>
    <r>
      <rPr>
        <sz val="11"/>
        <rFont val="Slimbach LT"/>
      </rPr>
      <t>mosgrøn/lys grå</t>
    </r>
  </si>
  <si>
    <r>
      <rPr>
        <sz val="11"/>
        <rFont val="Slimbach LT"/>
      </rPr>
      <t>brun/antrazit</t>
    </r>
  </si>
  <si>
    <r>
      <rPr>
        <sz val="11"/>
        <rFont val="Slimbach LT"/>
      </rPr>
      <t>teglrød/oxidrød</t>
    </r>
  </si>
  <si>
    <r>
      <rPr>
        <sz val="11"/>
        <rFont val="Slimbach LT"/>
      </rPr>
      <t>prefahvid/prefahvid</t>
    </r>
  </si>
  <si>
    <r>
      <rPr>
        <sz val="11"/>
        <color theme="1"/>
        <rFont val="Arial"/>
        <family val="2"/>
      </rPr>
      <t>PREFA udluftningshætte Ø 100, glat</t>
    </r>
  </si>
  <si>
    <r>
      <rPr>
        <sz val="11"/>
        <color theme="1"/>
        <rFont val="Arial"/>
        <family val="2"/>
      </rPr>
      <t>PREFA udluftningsrør ⌀ 100, passer til HT-rør NW 110</t>
    </r>
  </si>
  <si>
    <r>
      <rPr>
        <sz val="11"/>
        <color theme="1"/>
        <rFont val="Arial"/>
        <family val="2"/>
      </rPr>
      <t>PREFA udluftningsrør ⌀ 120, passer til HT-rør NW 125</t>
    </r>
  </si>
  <si>
    <r>
      <rPr>
        <sz val="11"/>
        <color theme="1"/>
        <rFont val="Arial"/>
        <family val="2"/>
      </rPr>
      <t>PREFA foldemanchet Ø 100-130</t>
    </r>
  </si>
  <si>
    <r>
      <rPr>
        <sz val="11"/>
        <color theme="1"/>
        <rFont val="Arial"/>
        <family val="2"/>
      </rPr>
      <t>PREFA underlagsplade L=660 x B=125 mm, stucco</t>
    </r>
  </si>
  <si>
    <r>
      <rPr>
        <sz val="11"/>
        <color theme="1"/>
        <rFont val="Arial"/>
        <family val="2"/>
      </rPr>
      <t>PREFA underlagsplade L=540 x B=125 mm, stucco</t>
    </r>
  </si>
  <si>
    <r>
      <rPr>
        <sz val="11"/>
        <color theme="1"/>
        <rFont val="Arial"/>
        <family val="2"/>
      </rPr>
      <t>PREFA snestopper til tagplade og RUDEFORMET TAGPLADE 29 × 29</t>
    </r>
  </si>
  <si>
    <r>
      <rPr>
        <sz val="11"/>
        <color theme="1"/>
        <rFont val="Arial"/>
        <family val="2"/>
      </rPr>
      <t>PREFA snegitterkrog</t>
    </r>
  </si>
  <si>
    <r>
      <rPr>
        <sz val="11"/>
        <color theme="1"/>
        <rFont val="Arial"/>
        <family val="2"/>
      </rPr>
      <t>PREFA rundstang (15 Ø x 3.000 mm) til snegitterkrog</t>
    </r>
  </si>
  <si>
    <r>
      <rPr>
        <sz val="11"/>
        <color theme="1"/>
        <rFont val="Arial"/>
        <family val="2"/>
      </rPr>
      <t>PREFA afslutning til snegitter</t>
    </r>
  </si>
  <si>
    <r>
      <rPr>
        <sz val="11"/>
        <color theme="1"/>
        <rFont val="Arial"/>
        <family val="2"/>
      </rPr>
      <t>PREFA snegittersystem (205 x 66 x 303 mm)</t>
    </r>
  </si>
  <si>
    <r>
      <rPr>
        <sz val="11"/>
        <color theme="1"/>
        <rFont val="Arial"/>
        <family val="2"/>
      </rPr>
      <t>PREFA snegittersystem ilægningsprofil (3.000 mm)</t>
    </r>
  </si>
  <si>
    <r>
      <rPr>
        <sz val="11"/>
        <color theme="1"/>
        <rFont val="Arial"/>
        <family val="2"/>
      </rPr>
      <t>PREFA snegittersystem isklo</t>
    </r>
  </si>
  <si>
    <r>
      <rPr>
        <sz val="11"/>
        <color theme="1"/>
        <rFont val="Arial"/>
        <family val="2"/>
      </rPr>
      <t>PREFA snegittersystem afslutning</t>
    </r>
  </si>
  <si>
    <r>
      <rPr>
        <sz val="11"/>
        <color theme="1"/>
        <rFont val="Arial"/>
        <family val="2"/>
      </rPr>
      <t>PREFA bjergsnefangstøtte</t>
    </r>
  </si>
  <si>
    <r>
      <rPr>
        <sz val="11"/>
        <color theme="1"/>
        <rFont val="Arial"/>
        <family val="2"/>
      </rPr>
      <t>PREFA skorstenshat 700 x 700 mm</t>
    </r>
  </si>
  <si>
    <r>
      <rPr>
        <sz val="11"/>
        <color theme="1"/>
        <rFont val="Arial"/>
        <family val="2"/>
      </rPr>
      <t>PREFA skorstenshat 800 x 800 mm</t>
    </r>
  </si>
  <si>
    <r>
      <rPr>
        <sz val="11"/>
        <color theme="1"/>
        <rFont val="Arial"/>
        <family val="2"/>
      </rPr>
      <t>PREFA skorstenshat 1.000 x 700 mm</t>
    </r>
  </si>
  <si>
    <r>
      <rPr>
        <sz val="11"/>
        <color theme="1"/>
        <rFont val="Arial"/>
        <family val="2"/>
      </rPr>
      <t>PREFA skorstenshat 1.100 x 800 mm</t>
    </r>
  </si>
  <si>
    <r>
      <rPr>
        <sz val="11"/>
        <color theme="1"/>
        <rFont val="Arial"/>
        <family val="2"/>
      </rPr>
      <t>PREFA skorstenshat 1.500 x 800 mm</t>
    </r>
  </si>
  <si>
    <r>
      <rPr>
        <sz val="11"/>
        <color theme="1"/>
        <rFont val="Arial"/>
        <family val="2"/>
      </rPr>
      <t>Bukket skorstensstøtte</t>
    </r>
  </si>
  <si>
    <r>
      <rPr>
        <sz val="11"/>
        <color theme="1"/>
        <rFont val="Arial"/>
        <family val="2"/>
      </rPr>
      <t>PREFA fladprofil (35 x 7 x 3.000 mm)</t>
    </r>
  </si>
  <si>
    <r>
      <rPr>
        <sz val="11"/>
        <color theme="1"/>
        <rFont val="Arial"/>
        <family val="2"/>
      </rPr>
      <t>PREFA dækplade, til afdækning af fastgørelsesmidler</t>
    </r>
  </si>
  <si>
    <r>
      <rPr>
        <sz val="11"/>
        <color theme="1"/>
        <rFont val="Arial"/>
        <family val="2"/>
      </rPr>
      <t>PREFA silikonepatron</t>
    </r>
  </si>
  <si>
    <r>
      <rPr>
        <sz val="11"/>
        <color theme="1"/>
        <rFont val="Arial"/>
        <family val="2"/>
      </rPr>
      <t>PREFA specialklæbersæt</t>
    </r>
  </si>
  <si>
    <r>
      <rPr>
        <sz val="11"/>
        <color theme="1"/>
        <rFont val="Arial"/>
        <family val="2"/>
      </rPr>
      <t>PREFA afspændingsjern</t>
    </r>
  </si>
  <si>
    <r>
      <rPr>
        <sz val="11"/>
        <color theme="1"/>
        <rFont val="Arial"/>
        <family val="2"/>
      </rPr>
      <t>PREFA hulplade DM 5 mm
ca. 24 kg/rulle (0,7x1.000 mm)</t>
    </r>
  </si>
  <si>
    <r>
      <rPr>
        <sz val="11"/>
        <color theme="1"/>
        <rFont val="Calibri"/>
        <family val="2"/>
      </rPr>
      <t>Suppleringsbånd 1,0x1.000 mm (kun til kantstrimmel)</t>
    </r>
  </si>
  <si>
    <r>
      <rPr>
        <sz val="11"/>
        <color theme="1"/>
        <rFont val="Arial"/>
        <family val="2"/>
      </rPr>
      <t>Anvendelsesteknik</t>
    </r>
  </si>
  <si>
    <r>
      <rPr>
        <sz val="11"/>
        <color theme="1"/>
        <rFont val="Calibri"/>
        <family val="2"/>
      </rPr>
      <t>PREFALZ suppleringsbånd 1,0x1.000 mm (kun til kantstrimmel)</t>
    </r>
  </si>
  <si>
    <r>
      <rPr>
        <sz val="11"/>
        <color theme="1"/>
        <rFont val="Calibri"/>
        <family val="2"/>
      </rPr>
      <t>PREFALZ suppleringsbånd 0,7x1.000 mm (til ekstra inddækning)</t>
    </r>
  </si>
  <si>
    <r>
      <rPr>
        <sz val="11"/>
        <color theme="1"/>
        <rFont val="Calibri"/>
        <family val="2"/>
      </rPr>
      <t>12 sølvmetallic</t>
    </r>
  </si>
  <si>
    <r>
      <rPr>
        <sz val="11"/>
        <color theme="1"/>
        <rFont val="Calibri"/>
        <family val="2"/>
      </rPr>
      <t>0,75 l dåse</t>
    </r>
  </si>
  <si>
    <r>
      <rPr>
        <sz val="11"/>
        <color theme="1"/>
        <rFont val="Calibri"/>
        <family val="2"/>
      </rPr>
      <t>1: Vælg det ønskede produkt ved at klikke på fanen.</t>
    </r>
  </si>
  <si>
    <r>
      <rPr>
        <sz val="11"/>
        <color theme="1"/>
        <rFont val="Calibri"/>
        <family val="2"/>
      </rPr>
      <t>100 ⌀ 700–1.100 mm</t>
    </r>
  </si>
  <si>
    <r>
      <rPr>
        <sz val="11"/>
        <color theme="1"/>
        <rFont val="Calibri"/>
        <family val="2"/>
      </rPr>
      <t>100 × ⌀ 50–75 mm</t>
    </r>
  </si>
  <si>
    <r>
      <rPr>
        <sz val="11"/>
        <color theme="1"/>
        <rFont val="Calibri"/>
        <family val="2"/>
      </rPr>
      <t>195 mm lang</t>
    </r>
  </si>
  <si>
    <r>
      <rPr>
        <sz val="11"/>
        <color theme="1"/>
        <rFont val="Calibri"/>
        <family val="2"/>
      </rPr>
      <t>2: Alle felter med grå baggrund kan udfyldes, eller har en prædefineret valgliste.</t>
    </r>
  </si>
  <si>
    <r>
      <rPr>
        <sz val="11"/>
        <color theme="1"/>
        <rFont val="Calibri"/>
        <family val="2"/>
      </rPr>
      <t>290 ml rækker til ca. 4 lbm.</t>
    </r>
  </si>
  <si>
    <r>
      <rPr>
        <sz val="11"/>
        <color theme="1"/>
        <rFont val="Calibri"/>
        <family val="2"/>
      </rPr>
      <t>3: Alle valgfelter kan vælges.</t>
    </r>
  </si>
  <si>
    <r>
      <rPr>
        <sz val="11"/>
        <color theme="1"/>
        <rFont val="Calibri"/>
        <family val="2"/>
      </rPr>
      <t>333 mm / 100 × 100 mm</t>
    </r>
  </si>
  <si>
    <r>
      <rPr>
        <sz val="11"/>
        <color theme="1"/>
        <rFont val="Calibri"/>
        <family val="2"/>
      </rPr>
      <t>4: Hvis pulverbelagt er valgt som farve, vises et ekstra indtastningsfelt for belægningsfarven.</t>
    </r>
  </si>
  <si>
    <r>
      <rPr>
        <sz val="11"/>
        <color theme="1"/>
        <rFont val="Calibri"/>
        <family val="2"/>
      </rPr>
      <t>400 mm / 100 × 100 mm</t>
    </r>
  </si>
  <si>
    <r>
      <rPr>
        <sz val="11"/>
        <color theme="1"/>
        <rFont val="Calibri"/>
        <family val="2"/>
      </rPr>
      <t>4: Mængderne kan om ønsket beregnet i styk (stk.) eller afrundes til næste pakkeenhed.</t>
    </r>
  </si>
  <si>
    <r>
      <rPr>
        <sz val="11"/>
        <color theme="1"/>
        <rFont val="Calibri"/>
        <family val="2"/>
      </rPr>
      <t>50 ml dåse med pensel</t>
    </r>
  </si>
  <si>
    <r>
      <rPr>
        <sz val="11"/>
        <color theme="1"/>
        <rFont val="Calibri"/>
        <family val="2"/>
      </rPr>
      <t>4: Eventualpositioner kan markeres her.</t>
    </r>
  </si>
  <si>
    <r>
      <rPr>
        <sz val="11"/>
        <color theme="1"/>
        <rFont val="Calibri"/>
        <family val="2"/>
      </rPr>
      <t>60 mm udhæng</t>
    </r>
  </si>
  <si>
    <r>
      <rPr>
        <sz val="11"/>
        <color theme="1"/>
        <rFont val="Calibri"/>
        <family val="2"/>
      </rPr>
      <t>5: Artikler, der ikke er anført i listen, kan indsættes i slutningen af tabellen.</t>
    </r>
  </si>
  <si>
    <r>
      <rPr>
        <sz val="11"/>
        <color theme="1"/>
        <rFont val="Calibri"/>
        <family val="2"/>
      </rPr>
      <t>6: Ekstra anmærkninger kan indsættes her.</t>
    </r>
  </si>
  <si>
    <r>
      <rPr>
        <sz val="11"/>
        <color theme="1"/>
        <rFont val="Calibri"/>
        <family val="2"/>
      </rPr>
      <t>7: Unødvendige positioner kan skjules vha. filteret.</t>
    </r>
  </si>
  <si>
    <r>
      <rPr>
        <sz val="11"/>
        <color theme="1"/>
        <rFont val="Calibri"/>
        <family val="2"/>
      </rPr>
      <t>Forløbsmål:</t>
    </r>
  </si>
  <si>
    <r>
      <rPr>
        <sz val="11"/>
        <color theme="1"/>
        <rFont val="Calibri"/>
        <family val="2"/>
      </rPr>
      <t>Betjeningsvejledning</t>
    </r>
  </si>
  <si>
    <r>
      <rPr>
        <sz val="11"/>
        <color theme="1"/>
        <rFont val="Calibri"/>
        <family val="2"/>
      </rPr>
      <t>TAGDRÆNING</t>
    </r>
  </si>
  <si>
    <r>
      <rPr>
        <sz val="11"/>
        <color theme="1"/>
        <rFont val="Calibri"/>
        <family val="2"/>
      </rPr>
      <t>TAGPANEL FX.12</t>
    </r>
  </si>
  <si>
    <r>
      <rPr>
        <sz val="11"/>
        <color theme="1"/>
        <rFont val="Calibri"/>
        <family val="2"/>
      </rPr>
      <t>TAGPLADE R.16</t>
    </r>
  </si>
  <si>
    <r>
      <rPr>
        <sz val="11"/>
        <color theme="1"/>
        <rFont val="Calibri"/>
        <family val="2"/>
      </rPr>
      <t>RUDEFORMET TAGPLADE 29 × 29</t>
    </r>
  </si>
  <si>
    <r>
      <rPr>
        <sz val="11"/>
        <color theme="1"/>
        <rFont val="Calibri"/>
        <family val="2"/>
      </rPr>
      <t>RUDEFORMET TAGPLADE 44 × 44</t>
    </r>
  </si>
  <si>
    <r>
      <rPr>
        <sz val="11"/>
        <color theme="1"/>
        <rFont val="Calibri"/>
        <family val="2"/>
      </rPr>
      <t>TAGSPÅN</t>
    </r>
  </si>
  <si>
    <r>
      <rPr>
        <sz val="11"/>
        <color theme="1"/>
        <rFont val="Calibri"/>
        <family val="2"/>
      </rPr>
      <t>Mål ikke muligt</t>
    </r>
  </si>
  <si>
    <r>
      <rPr>
        <sz val="11"/>
        <color theme="1"/>
        <rFont val="Calibri"/>
        <family val="2"/>
      </rPr>
      <t>Vælg mål:</t>
    </r>
  </si>
  <si>
    <r>
      <rPr>
        <sz val="11"/>
        <color theme="1"/>
        <rFont val="Calibri"/>
        <family val="2"/>
      </rPr>
      <t>Vælg længde:</t>
    </r>
  </si>
  <si>
    <r>
      <rPr>
        <sz val="11"/>
        <color theme="1"/>
        <rFont val="Calibri"/>
        <family val="2"/>
      </rPr>
      <t>06 mosgrøn</t>
    </r>
  </si>
  <si>
    <r>
      <rPr>
        <sz val="11"/>
        <color theme="1"/>
        <rFont val="Calibri"/>
        <family val="2"/>
      </rPr>
      <t>11 nøddebrun</t>
    </r>
  </si>
  <si>
    <r>
      <rPr>
        <sz val="11"/>
        <color theme="1"/>
        <rFont val="Calibri"/>
        <family val="2"/>
      </rPr>
      <t>⌀ 100 mm passer til HT/KG (NW 110 mm)</t>
    </r>
  </si>
  <si>
    <r>
      <rPr>
        <sz val="11"/>
        <color theme="1"/>
        <rFont val="Calibri"/>
        <family val="2"/>
      </rPr>
      <t>⌀ 115 mm passer til HT/KG (NW 125 mm)</t>
    </r>
  </si>
  <si>
    <r>
      <rPr>
        <sz val="11"/>
        <color theme="1"/>
        <rFont val="Calibri"/>
        <family val="2"/>
      </rPr>
      <t>05 oxidrød</t>
    </r>
  </si>
  <si>
    <r>
      <rPr>
        <sz val="11"/>
        <color theme="1"/>
        <rFont val="Calibri"/>
        <family val="2"/>
      </rPr>
      <t>PREFA dækkappe til rørbøjledorn</t>
    </r>
  </si>
  <si>
    <r>
      <rPr>
        <sz val="11"/>
        <color theme="1"/>
        <rFont val="Calibri"/>
        <family val="2"/>
      </rPr>
      <t>PREFA nedløbskæde 5 mm</t>
    </r>
  </si>
  <si>
    <r>
      <rPr>
        <sz val="11"/>
        <color theme="1"/>
        <rFont val="Calibri"/>
        <family val="2"/>
      </rPr>
      <t>PREFA nedløbsrør 1,6 mm DN 100</t>
    </r>
  </si>
  <si>
    <r>
      <rPr>
        <sz val="11"/>
        <color theme="1"/>
        <rFont val="Calibri"/>
        <family val="2"/>
      </rPr>
      <t>PREFA nedløbsrør DN 60 svejset</t>
    </r>
  </si>
  <si>
    <r>
      <rPr>
        <sz val="11"/>
        <color theme="1"/>
        <rFont val="Calibri"/>
        <family val="2"/>
      </rPr>
      <t>PREFA nedløbsrør</t>
    </r>
  </si>
  <si>
    <r>
      <rPr>
        <sz val="11"/>
        <color theme="1"/>
        <rFont val="Calibri"/>
        <family val="2"/>
      </rPr>
      <t>PREFA aluminium tagrende med udvendig beskyttelsesfolie</t>
    </r>
  </si>
  <si>
    <r>
      <rPr>
        <sz val="11"/>
        <color theme="1"/>
        <rFont val="Calibri"/>
        <family val="2"/>
      </rPr>
      <t>PREFA aluminiumskasserende</t>
    </r>
  </si>
  <si>
    <r>
      <rPr>
        <sz val="11"/>
        <color theme="1"/>
        <rFont val="Calibri"/>
        <family val="2"/>
      </rPr>
      <t>PREFA aluminiumsloddestænger</t>
    </r>
  </si>
  <si>
    <r>
      <rPr>
        <sz val="11"/>
        <color theme="1"/>
        <rFont val="Calibri"/>
        <family val="2"/>
      </rPr>
      <t>PREFA lynbeskyttelsesklemme</t>
    </r>
  </si>
  <si>
    <r>
      <rPr>
        <sz val="11"/>
        <color theme="1"/>
        <rFont val="Calibri"/>
        <family val="2"/>
      </rPr>
      <t>PREFA overbøjle</t>
    </r>
  </si>
  <si>
    <r>
      <rPr>
        <sz val="11"/>
        <color theme="1"/>
        <rFont val="Calibri"/>
        <family val="2"/>
      </rPr>
      <t>PREFA taglugedæksel</t>
    </r>
  </si>
  <si>
    <r>
      <rPr>
        <sz val="10"/>
        <rFont val="Slimbach LT"/>
      </rPr>
      <t>PREFA taglugedæksel med træramme (indvendigt mål 600x600 mm)</t>
    </r>
  </si>
  <si>
    <r>
      <rPr>
        <sz val="10"/>
        <rFont val="Slimbach LT"/>
      </rPr>
      <t>PREFA taglugedæksel
(indvendigt mål 600 x 600 mm)</t>
    </r>
  </si>
  <si>
    <r>
      <rPr>
        <sz val="11"/>
        <color theme="1"/>
        <rFont val="Calibri"/>
        <family val="2"/>
      </rPr>
      <t>PREFA tagplade R.16 (700 × 420 mm)</t>
    </r>
  </si>
  <si>
    <r>
      <rPr>
        <sz val="11"/>
        <color theme="1"/>
        <rFont val="Calibri"/>
        <family val="2"/>
      </rPr>
      <t>PREFA rudeformet tagplade (29 × 29 mm, 120 stk./kart.)</t>
    </r>
  </si>
  <si>
    <r>
      <rPr>
        <sz val="11"/>
        <color theme="1"/>
        <rFont val="Calibri"/>
        <family val="2"/>
      </rPr>
      <t>PREFA rudeformet tagplade (440 × 440 mm, 42 stk./kart.)</t>
    </r>
  </si>
  <si>
    <r>
      <rPr>
        <sz val="11"/>
        <color theme="1"/>
        <rFont val="Calibri"/>
        <family val="2"/>
      </rPr>
      <t>PREFA TAGRENDESYSTEMER</t>
    </r>
  </si>
  <si>
    <r>
      <rPr>
        <sz val="11"/>
        <color theme="1"/>
        <rFont val="Calibri"/>
        <family val="2"/>
      </rPr>
      <t>PREFA tagspån (420 x 240 mm)</t>
    </r>
  </si>
  <si>
    <r>
      <rPr>
        <sz val="11"/>
        <color theme="1"/>
        <rFont val="Calibri"/>
        <family val="2"/>
      </rPr>
      <t>PREFA udvidelse</t>
    </r>
  </si>
  <si>
    <r>
      <rPr>
        <sz val="11"/>
        <color theme="1"/>
        <rFont val="Calibri"/>
        <family val="2"/>
      </rPr>
      <t>PREFA enkeltanslagspunkt (EAP) iht. EN 795, klasse A (op til banebredde 650)</t>
    </r>
  </si>
  <si>
    <r>
      <rPr>
        <sz val="11"/>
        <color theme="1"/>
        <rFont val="Calibri"/>
        <family val="2"/>
      </rPr>
      <t>PREFA hjørneforbinder til PREFA rør</t>
    </r>
  </si>
  <si>
    <r>
      <rPr>
        <sz val="11"/>
        <color theme="1"/>
        <rFont val="Arial"/>
        <family val="2"/>
      </rPr>
      <t>PREFA indfatningsplade til tagplade R.16 og FX.12, glat, ⌀ 80–125 mm</t>
    </r>
  </si>
  <si>
    <r>
      <rPr>
        <sz val="11"/>
        <color theme="1"/>
        <rFont val="Arial"/>
        <family val="2"/>
      </rPr>
      <t>PREFA indfatningsplade til rudeformet tagplade 29 × 29, glat, ⌀ 80–125 mm</t>
    </r>
  </si>
  <si>
    <r>
      <rPr>
        <sz val="11"/>
        <color theme="1"/>
        <rFont val="Arial"/>
        <family val="2"/>
      </rPr>
      <t>PREFA indfatningsplade til rudeformet tagplade 44 × 44, glat, ⌀ 80–125 mm</t>
    </r>
  </si>
  <si>
    <r>
      <rPr>
        <sz val="11"/>
        <color theme="1"/>
        <rFont val="Arial"/>
        <family val="2"/>
      </rPr>
      <t>PREFA indfatningsplade til tagspån</t>
    </r>
  </si>
  <si>
    <r>
      <rPr>
        <sz val="11"/>
        <color theme="1"/>
        <rFont val="Calibri"/>
        <family val="2"/>
      </rPr>
      <t>PREFA indløbsplade 230 × 2.000 × 0,7 mm</t>
    </r>
  </si>
  <si>
    <r>
      <rPr>
        <sz val="11"/>
        <color theme="1"/>
        <rFont val="Calibri"/>
        <family val="2"/>
      </rPr>
      <t>PREFA indløbsplade glat</t>
    </r>
  </si>
  <si>
    <r>
      <rPr>
        <sz val="11"/>
        <color theme="1"/>
        <rFont val="Calibri"/>
        <family val="2"/>
      </rPr>
      <t>PREFA endeplade (1,48 stk./lbm, 40 stk./kart.)</t>
    </r>
  </si>
  <si>
    <r>
      <rPr>
        <sz val="11"/>
        <color theme="1"/>
        <rFont val="Calibri"/>
        <family val="2"/>
      </rPr>
      <t>PREFA endeplade (2,2 stk./lbm, 100 stk./kart.)</t>
    </r>
  </si>
  <si>
    <r>
      <rPr>
        <sz val="11"/>
        <color theme="1"/>
        <rFont val="Calibri"/>
        <family val="2"/>
      </rPr>
      <t>PREFA udluftningsrør ⌀ 100</t>
    </r>
  </si>
  <si>
    <r>
      <rPr>
        <sz val="11"/>
        <color theme="1"/>
        <rFont val="Calibri"/>
        <family val="2"/>
      </rPr>
      <t>PREFA udluftningsrør ⌀ 120</t>
    </r>
  </si>
  <si>
    <r>
      <rPr>
        <sz val="11"/>
        <color theme="1"/>
        <rFont val="Arial"/>
        <family val="2"/>
      </rPr>
      <t>PREFA frømundsluge stucco til tagspån 420 x 240 mm
ventilationstværsnit ca. 30 cm²</t>
    </r>
  </si>
  <si>
    <r>
      <rPr>
        <sz val="11"/>
        <color theme="1"/>
        <rFont val="Calibri"/>
        <family val="2"/>
      </rPr>
      <t>PREFA frømundslugekappe til pånitning, ventilationstværsnit ca. 30 cm²</t>
    </r>
  </si>
  <si>
    <r>
      <rPr>
        <sz val="11"/>
        <color theme="1"/>
        <rFont val="Calibri"/>
        <family val="2"/>
      </rPr>
      <t>PREFA FX.12 tagpanel kort (700 × 420 mm)</t>
    </r>
  </si>
  <si>
    <r>
      <rPr>
        <sz val="11"/>
        <color theme="1"/>
        <rFont val="Calibri"/>
        <family val="2"/>
      </rPr>
      <t>PREFA FX.12 tagpanel langt (1.400 × 420 mm)</t>
    </r>
  </si>
  <si>
    <r>
      <rPr>
        <sz val="11"/>
        <color theme="1"/>
        <rFont val="Calibri"/>
        <family val="2"/>
      </rPr>
      <t>PREFA gummitætning passer til HT/KG (NW 110 mm)</t>
    </r>
  </si>
  <si>
    <r>
      <rPr>
        <sz val="11"/>
        <color theme="1"/>
        <rFont val="Calibri"/>
        <family val="2"/>
      </rPr>
      <t>PREFA holdeklemme</t>
    </r>
  </si>
  <si>
    <r>
      <rPr>
        <sz val="11"/>
        <color theme="1"/>
        <rFont val="Calibri"/>
        <family val="2"/>
      </rPr>
      <t>PREFA hængerendeudvidelse med vulst og blænde</t>
    </r>
  </si>
  <si>
    <r>
      <rPr>
        <sz val="11"/>
        <color theme="1"/>
        <rFont val="Calibri"/>
        <family val="2"/>
      </rPr>
      <t>PREFA hængerendeudvidelse uden vulst og blænde</t>
    </r>
  </si>
  <si>
    <r>
      <rPr>
        <sz val="10"/>
        <rFont val="Slimbach LT"/>
      </rPr>
      <t>PREFA træramme
(indvendigt mål 600 x 600 mm)</t>
    </r>
  </si>
  <si>
    <r>
      <rPr>
        <sz val="11"/>
        <color theme="1"/>
        <rFont val="Calibri"/>
        <family val="2"/>
      </rPr>
      <t>PREFA hydrolak</t>
    </r>
  </si>
  <si>
    <r>
      <rPr>
        <sz val="11"/>
        <color theme="1"/>
        <rFont val="Calibri"/>
        <family val="2"/>
      </rPr>
      <t>PREFA kasserendeudvidelse med vulst og blænde</t>
    </r>
  </si>
  <si>
    <r>
      <rPr>
        <sz val="11"/>
        <color theme="1"/>
        <rFont val="Calibri"/>
        <family val="2"/>
      </rPr>
      <t>PREFA kasserendeudvidelse uden vulst og blænde</t>
    </r>
  </si>
  <si>
    <r>
      <rPr>
        <sz val="11"/>
        <color theme="1"/>
        <rFont val="Calibri"/>
        <family val="2"/>
      </rPr>
      <t>PREFA kasserendeendebund</t>
    </r>
  </si>
  <si>
    <r>
      <rPr>
        <sz val="11"/>
        <color theme="1"/>
        <rFont val="Calibri"/>
        <family val="2"/>
      </rPr>
      <t>PREFA kasserendefordybning</t>
    </r>
  </si>
  <si>
    <r>
      <rPr>
        <sz val="11"/>
        <color theme="1"/>
        <rFont val="Calibri"/>
        <family val="2"/>
      </rPr>
      <t>PREFA kasserendevinkel udvendig 90°</t>
    </r>
  </si>
  <si>
    <r>
      <rPr>
        <sz val="11"/>
        <color theme="1"/>
        <rFont val="Calibri"/>
        <family val="2"/>
      </rPr>
      <t>PREFA kasserendevinkel indvendig 90°</t>
    </r>
  </si>
  <si>
    <r>
      <rPr>
        <sz val="11"/>
        <color theme="1"/>
        <rFont val="Calibri"/>
        <family val="2"/>
      </rPr>
      <t>PREFA klæbeindfatning til falstage ⌀ 120–170 mm</t>
    </r>
  </si>
  <si>
    <r>
      <rPr>
        <sz val="11"/>
        <color theme="1"/>
        <rFont val="Calibri"/>
        <family val="2"/>
      </rPr>
      <t>PREFA klæbeindfatning til falstage ⌀ 170-210 mm</t>
    </r>
  </si>
  <si>
    <r>
      <rPr>
        <sz val="11"/>
        <color theme="1"/>
        <rFont val="Calibri"/>
        <family val="2"/>
      </rPr>
      <t>PREFA klæbeindfatning til falstage ⌀ 50-65 mm</t>
    </r>
  </si>
  <si>
    <r>
      <rPr>
        <sz val="11"/>
        <color theme="1"/>
        <rFont val="Calibri"/>
        <family val="2"/>
      </rPr>
      <t>PREFA klæbeindfatning til falstage ⌀ 80-125 mm</t>
    </r>
  </si>
  <si>
    <r>
      <rPr>
        <sz val="11"/>
        <color theme="1"/>
        <rFont val="Calibri"/>
        <family val="2"/>
      </rPr>
      <t>PREFA kugleendebund</t>
    </r>
  </si>
  <si>
    <r>
      <rPr>
        <sz val="11"/>
        <color theme="1"/>
        <rFont val="Calibri"/>
        <family val="2"/>
      </rPr>
      <t>PREFA løvfanger (kun i brun)</t>
    </r>
  </si>
  <si>
    <r>
      <rPr>
        <sz val="11"/>
        <color theme="1"/>
        <rFont val="Calibri"/>
        <family val="2"/>
      </rPr>
      <t>PREFA løbebrostøtte til løbebroer</t>
    </r>
  </si>
  <si>
    <r>
      <rPr>
        <sz val="11"/>
        <color theme="1"/>
        <rFont val="Calibri"/>
        <family val="2"/>
      </rPr>
      <t>PREFA M10 gevinddorn</t>
    </r>
  </si>
  <si>
    <r>
      <rPr>
        <sz val="11"/>
        <color theme="1"/>
        <rFont val="Calibri"/>
        <family val="2"/>
      </rPr>
      <t>PREFA NIRO buksespænde</t>
    </r>
  </si>
  <si>
    <r>
      <rPr>
        <sz val="11"/>
        <color theme="1"/>
        <rFont val="Calibri"/>
        <family val="2"/>
      </rPr>
      <t>PREFA NIRO bukseskydespænde</t>
    </r>
  </si>
  <si>
    <r>
      <rPr>
        <sz val="11"/>
        <color theme="1"/>
        <rFont val="Calibri"/>
        <family val="2"/>
      </rPr>
      <t>PREFA Niro vinklet langt skydespænde skærlængde 12 til 15 m</t>
    </r>
  </si>
  <si>
    <r>
      <rPr>
        <sz val="11"/>
        <color theme="1"/>
        <rFont val="Calibri"/>
        <family val="2"/>
      </rPr>
      <t>PREFA Niro vinklet skydespænde skærlængde op til 12 m</t>
    </r>
  </si>
  <si>
    <r>
      <rPr>
        <sz val="11"/>
        <color theme="1"/>
        <rFont val="Calibri"/>
        <family val="2"/>
      </rPr>
      <t>PREFA NIRO spænde til vinklet stående fals</t>
    </r>
  </si>
  <si>
    <r>
      <rPr>
        <sz val="11"/>
        <color theme="1"/>
        <rFont val="Calibri"/>
        <family val="2"/>
      </rPr>
      <t>PREFA passpån til tilslutninger (840 × 240 mm)</t>
    </r>
  </si>
  <si>
    <r>
      <rPr>
        <sz val="11"/>
        <color theme="1"/>
        <rFont val="Calibri"/>
        <family val="2"/>
      </rPr>
      <t>PREFA patentnitte</t>
    </r>
  </si>
  <si>
    <r>
      <rPr>
        <sz val="11"/>
        <color theme="1"/>
        <rFont val="Calibri"/>
        <family val="2"/>
      </rPr>
      <t>PREFA kvadratrør</t>
    </r>
  </si>
  <si>
    <r>
      <rPr>
        <sz val="11"/>
        <color theme="1"/>
        <rFont val="Calibri"/>
        <family val="2"/>
      </rPr>
      <t>PREFA kvadratrørsfordybning til kasserende</t>
    </r>
  </si>
  <si>
    <r>
      <rPr>
        <sz val="11"/>
        <color theme="1"/>
        <rFont val="Calibri"/>
        <family val="2"/>
      </rPr>
      <t>PREFA kvadratrør med rengøringsåbning</t>
    </r>
  </si>
  <si>
    <r>
      <rPr>
        <sz val="11"/>
        <color theme="1"/>
        <rFont val="Calibri"/>
        <family val="2"/>
      </rPr>
      <t>PREFA kvadratrørsmuffe</t>
    </r>
  </si>
  <si>
    <r>
      <rPr>
        <sz val="11"/>
        <color theme="1"/>
        <rFont val="Calibri"/>
        <family val="2"/>
      </rPr>
      <t>PREFA kvadratrørstagrendetilslutning</t>
    </r>
  </si>
  <si>
    <r>
      <rPr>
        <sz val="11"/>
        <color theme="1"/>
        <rFont val="Calibri"/>
        <family val="2"/>
      </rPr>
      <t>PREFA kvadratrørsvandopsamlingskasse 220/220/330</t>
    </r>
  </si>
  <si>
    <r>
      <rPr>
        <sz val="11"/>
        <color theme="1"/>
        <rFont val="Calibri"/>
        <family val="2"/>
      </rPr>
      <t>PREFA kvadratrørbue 72° kort</t>
    </r>
  </si>
  <si>
    <r>
      <rPr>
        <sz val="11"/>
        <color theme="1"/>
        <rFont val="Calibri"/>
        <family val="2"/>
      </rPr>
      <t>PREFA kvadratrørbue 72° lang</t>
    </r>
  </si>
  <si>
    <r>
      <rPr>
        <sz val="11"/>
        <color theme="1"/>
        <rFont val="Calibri"/>
        <family val="2"/>
      </rPr>
      <t>PREFA regnklap</t>
    </r>
  </si>
  <si>
    <r>
      <rPr>
        <sz val="11"/>
        <color theme="1"/>
        <rFont val="Calibri"/>
        <family val="2"/>
      </rPr>
      <t>PREFA rendeendebund</t>
    </r>
  </si>
  <si>
    <r>
      <rPr>
        <sz val="11"/>
        <color theme="1"/>
        <rFont val="Calibri"/>
        <family val="2"/>
      </rPr>
      <t>PREFA rendekrog</t>
    </r>
  </si>
  <si>
    <r>
      <rPr>
        <sz val="11"/>
        <color theme="1"/>
        <rFont val="Calibri"/>
        <family val="2"/>
      </rPr>
      <t>PREFA rendekrog til kasserende</t>
    </r>
  </si>
  <si>
    <r>
      <rPr>
        <sz val="11"/>
        <color theme="1"/>
        <rFont val="Calibri"/>
        <family val="2"/>
      </rPr>
      <t>PREFA rendekrog højkant</t>
    </r>
  </si>
  <si>
    <r>
      <rPr>
        <sz val="11"/>
        <color theme="1"/>
        <rFont val="Calibri"/>
        <family val="2"/>
      </rPr>
      <t>PREFA rendekrog Schweiz</t>
    </r>
  </si>
  <si>
    <r>
      <rPr>
        <sz val="11"/>
        <color theme="1"/>
        <rFont val="Calibri"/>
        <family val="2"/>
      </rPr>
      <t>PREFA rendekrogsøm 5,0 × 80</t>
    </r>
  </si>
  <si>
    <r>
      <rPr>
        <sz val="11"/>
        <color theme="1"/>
        <rFont val="Calibri"/>
        <family val="2"/>
      </rPr>
      <t>PREFA rendefordybning</t>
    </r>
  </si>
  <si>
    <r>
      <rPr>
        <sz val="11"/>
        <color theme="1"/>
        <rFont val="Calibri"/>
        <family val="2"/>
      </rPr>
      <t>PREFA rendevinkel udvendig 90°</t>
    </r>
  </si>
  <si>
    <r>
      <rPr>
        <sz val="11"/>
        <color theme="1"/>
        <rFont val="Calibri"/>
        <family val="2"/>
      </rPr>
      <t>PREFA rendevinkel indvendig 90°</t>
    </r>
  </si>
  <si>
    <r>
      <rPr>
        <sz val="11"/>
        <color theme="1"/>
        <rFont val="Calibri"/>
        <family val="2"/>
      </rPr>
      <t>PREFA rør 28 × 2 × 3.000 mm, inkl. muffe</t>
    </r>
  </si>
  <si>
    <r>
      <rPr>
        <sz val="11"/>
        <color theme="1"/>
        <rFont val="Calibri"/>
        <family val="2"/>
      </rPr>
      <t>PREFA rørbøjning 40°</t>
    </r>
  </si>
  <si>
    <r>
      <rPr>
        <sz val="11"/>
        <color theme="1"/>
        <rFont val="Calibri"/>
        <family val="2"/>
      </rPr>
      <t>PREFA rørbøjning 72°</t>
    </r>
  </si>
  <si>
    <r>
      <rPr>
        <sz val="11"/>
        <color theme="1"/>
        <rFont val="Calibri"/>
        <family val="2"/>
      </rPr>
      <t>PREFA rørbøjning 85°</t>
    </r>
  </si>
  <si>
    <r>
      <rPr>
        <sz val="11"/>
        <color theme="1"/>
        <rFont val="Calibri"/>
        <family val="2"/>
      </rPr>
      <t>PREFA rørudmunding</t>
    </r>
  </si>
  <si>
    <r>
      <rPr>
        <sz val="11"/>
        <color theme="1"/>
        <rFont val="Calibri"/>
        <family val="2"/>
      </rPr>
      <t>PREFA rørudmunding konisk</t>
    </r>
  </si>
  <si>
    <r>
      <rPr>
        <sz val="11"/>
        <color theme="1"/>
        <rFont val="Calibri"/>
        <family val="2"/>
      </rPr>
      <t>PREFA rørbøjle til standrør</t>
    </r>
  </si>
  <si>
    <r>
      <rPr>
        <sz val="11"/>
        <color theme="1"/>
        <rFont val="Calibri"/>
        <family val="2"/>
      </rPr>
      <t>PREFA rørbøjle med M10 gevind uden dorn</t>
    </r>
  </si>
  <si>
    <r>
      <rPr>
        <sz val="11"/>
        <color theme="1"/>
        <rFont val="Calibri"/>
        <family val="2"/>
      </rPr>
      <t>PREFA rørbøjledorn</t>
    </r>
  </si>
  <si>
    <r>
      <rPr>
        <sz val="11"/>
        <color theme="1"/>
        <rFont val="Calibri"/>
        <family val="2"/>
      </rPr>
      <t>PREFA rørbøjledybel med dorn (til WDVS)</t>
    </r>
  </si>
  <si>
    <r>
      <rPr>
        <sz val="11"/>
        <color theme="1"/>
        <rFont val="Calibri"/>
        <family val="2"/>
      </rPr>
      <t>PREFA rørbøjleholder (til WDVS)</t>
    </r>
  </si>
  <si>
    <r>
      <rPr>
        <sz val="11"/>
        <color theme="1"/>
        <rFont val="Calibri"/>
        <family val="2"/>
      </rPr>
      <t>PREFA rørforbinder</t>
    </r>
  </si>
  <si>
    <r>
      <rPr>
        <sz val="11"/>
        <color theme="1"/>
        <rFont val="Calibri"/>
        <family val="2"/>
      </rPr>
      <t>PREFA sailer-klemme dobbelt</t>
    </r>
  </si>
  <si>
    <r>
      <rPr>
        <sz val="11"/>
        <color theme="1"/>
        <rFont val="Calibri"/>
        <family val="2"/>
      </rPr>
      <t>PREFA sailer-klemme enkelt</t>
    </r>
  </si>
  <si>
    <r>
      <rPr>
        <sz val="11"/>
        <color theme="1"/>
        <rFont val="Calibri"/>
        <family val="2"/>
      </rPr>
      <t>PREFA sailer-klemme til skråfalse</t>
    </r>
  </si>
  <si>
    <r>
      <rPr>
        <sz val="11"/>
        <color theme="1"/>
        <rFont val="Calibri"/>
        <family val="2"/>
      </rPr>
      <t>PREFA kantrende med beskyttelsesfolie udvendigt</t>
    </r>
  </si>
  <si>
    <r>
      <rPr>
        <sz val="11"/>
        <color theme="1"/>
        <rFont val="Calibri"/>
        <family val="2"/>
      </rPr>
      <t>PREFA kantrendeendebund</t>
    </r>
  </si>
  <si>
    <r>
      <rPr>
        <sz val="11"/>
        <color theme="1"/>
        <rFont val="Calibri"/>
        <family val="2"/>
      </rPr>
      <t>PREFA kantrendekrog</t>
    </r>
  </si>
  <si>
    <r>
      <rPr>
        <sz val="11"/>
        <color theme="1"/>
        <rFont val="Calibri"/>
        <family val="2"/>
      </rPr>
      <t>PREFA kantstrimmel (1.800 × 158 × 1,00 mm)</t>
    </r>
  </si>
  <si>
    <r>
      <rPr>
        <sz val="11"/>
        <color theme="1"/>
        <rFont val="Arial"/>
        <family val="2"/>
      </rPr>
      <t>PREFA snestopper til tagplade R.16 og FX.12</t>
    </r>
  </si>
  <si>
    <r>
      <rPr>
        <sz val="11"/>
        <color theme="1"/>
        <rFont val="Arial"/>
        <family val="2"/>
      </rPr>
      <t>PREFA snestopper til rudeformet tagplade 29 × 29</t>
    </r>
  </si>
  <si>
    <r>
      <rPr>
        <sz val="11"/>
        <color theme="1"/>
        <rFont val="Arial"/>
        <family val="2"/>
      </rPr>
      <t>PREFA snestopper til rudeformet tagplade 44 × 44</t>
    </r>
  </si>
  <si>
    <r>
      <rPr>
        <sz val="11"/>
        <color theme="1"/>
        <rFont val="Arial"/>
        <family val="2"/>
      </rPr>
      <t>PREFA snestopper til tagspån</t>
    </r>
  </si>
  <si>
    <r>
      <rPr>
        <sz val="11"/>
        <color theme="1"/>
        <rFont val="Calibri"/>
        <family val="2"/>
      </rPr>
      <t>PREFA skråstuds</t>
    </r>
  </si>
  <si>
    <r>
      <rPr>
        <sz val="11"/>
        <color theme="1"/>
        <rFont val="Calibri"/>
        <family val="2"/>
      </rPr>
      <t>PREFA sokkelknæ 60 mm udhæng</t>
    </r>
  </si>
  <si>
    <r>
      <rPr>
        <sz val="11"/>
        <color theme="1"/>
        <rFont val="Calibri"/>
        <family val="2"/>
      </rPr>
      <t>PREFA tagrendetilslutning</t>
    </r>
  </si>
  <si>
    <r>
      <rPr>
        <sz val="11"/>
        <color theme="1"/>
        <rFont val="Calibri"/>
        <family val="2"/>
      </rPr>
      <t>PREFA standrør med rengøringsåbning</t>
    </r>
  </si>
  <si>
    <r>
      <rPr>
        <sz val="11"/>
        <color theme="1"/>
        <rFont val="Calibri"/>
        <family val="2"/>
      </rPr>
      <t>PREFA standrørkappe</t>
    </r>
  </si>
  <si>
    <r>
      <rPr>
        <sz val="11"/>
        <color theme="1"/>
        <rFont val="Calibri"/>
        <family val="2"/>
      </rPr>
      <t>PREFA startplade (1,48 stk./lbm, 40 stk./kart.)</t>
    </r>
  </si>
  <si>
    <r>
      <rPr>
        <sz val="11"/>
        <color theme="1"/>
        <rFont val="Calibri"/>
        <family val="2"/>
      </rPr>
      <t>PREFA startplade (2,2 stk./lbm, 100 stk./kart.)</t>
    </r>
  </si>
  <si>
    <r>
      <rPr>
        <sz val="11"/>
        <color theme="1"/>
        <rFont val="Calibri"/>
        <family val="2"/>
      </rPr>
      <t>PREFA sternbrætkrog til tagrender</t>
    </r>
  </si>
  <si>
    <r>
      <rPr>
        <sz val="11"/>
        <color theme="1"/>
        <rFont val="Calibri"/>
        <family val="2"/>
      </rPr>
      <t>PREFA sternbrætkrog til kasserende</t>
    </r>
  </si>
  <si>
    <r>
      <rPr>
        <sz val="11"/>
        <color theme="1"/>
        <rFont val="Calibri"/>
        <family val="2"/>
      </rPr>
      <t>PREFA kantrendestuds</t>
    </r>
  </si>
  <si>
    <r>
      <rPr>
        <sz val="11"/>
        <color theme="1"/>
        <rFont val="Calibri"/>
        <family val="2"/>
      </rPr>
      <t>PREFA teleskoprørbøjning, længdejusterbar fra 700 til 1.000 mm, DN 100</t>
    </r>
  </si>
  <si>
    <r>
      <rPr>
        <sz val="11"/>
        <color theme="1"/>
        <rFont val="Calibri"/>
        <family val="2"/>
      </rPr>
      <t>PREFA fuglebeskyttelsesgitter 125 × 2.000 × 0,7 mm</t>
    </r>
  </si>
  <si>
    <r>
      <rPr>
        <sz val="11"/>
        <color theme="1"/>
        <rFont val="Calibri"/>
        <family val="2"/>
      </rPr>
      <t>PREFA vandopsamlingskasse 220/220/330</t>
    </r>
  </si>
  <si>
    <r>
      <rPr>
        <sz val="11"/>
        <color theme="1"/>
        <rFont val="Calibri"/>
        <family val="2"/>
      </rPr>
      <t>PREFA vandsamler</t>
    </r>
  </si>
  <si>
    <r>
      <rPr>
        <sz val="11"/>
        <color theme="1"/>
        <rFont val="Calibri"/>
        <family val="2"/>
      </rPr>
      <t>Prefalz farvealuminiumsbånd 0,7 × 1.000 mm</t>
    </r>
  </si>
  <si>
    <r>
      <rPr>
        <sz val="11"/>
        <color theme="1"/>
        <rFont val="Calibri"/>
        <family val="2"/>
      </rPr>
      <t>Prefalz farvealuminiumsbånd 0,7 × 1.000 mm (til ekstra inddækning)</t>
    </r>
  </si>
  <si>
    <r>
      <rPr>
        <sz val="11"/>
        <color theme="1"/>
        <rFont val="Calibri"/>
        <family val="2"/>
      </rPr>
      <t>Prefalz farvealuminiumsbånd 0,7 × 500 mm</t>
    </r>
  </si>
  <si>
    <r>
      <rPr>
        <sz val="11"/>
        <color theme="1"/>
        <rFont val="Calibri"/>
        <family val="2"/>
      </rPr>
      <t>Prefalz farvealuminiumsbånd 0,7 × 650 mm</t>
    </r>
  </si>
  <si>
    <r>
      <rPr>
        <sz val="11"/>
        <color theme="1"/>
        <rFont val="Calibri"/>
        <family val="2"/>
      </rPr>
      <t>10 prefahvid</t>
    </r>
  </si>
  <si>
    <r>
      <rPr>
        <sz val="11"/>
        <color theme="1"/>
        <rFont val="Calibri"/>
        <family val="2"/>
      </rPr>
      <t>10 P.10 prefahvid</t>
    </r>
  </si>
  <si>
    <r>
      <rPr>
        <sz val="11"/>
        <color theme="1"/>
        <rFont val="Calibri"/>
        <family val="2"/>
      </rPr>
      <t>KVADRATRØR</t>
    </r>
  </si>
  <si>
    <r>
      <rPr>
        <sz val="11"/>
        <color theme="1"/>
        <rFont val="Calibri"/>
        <family val="2"/>
      </rPr>
      <t>Rendedimension:</t>
    </r>
  </si>
  <si>
    <r>
      <rPr>
        <sz val="11"/>
        <color theme="1"/>
        <rFont val="Calibri"/>
        <family val="2"/>
      </rPr>
      <t>Vælg rendelængde:</t>
    </r>
  </si>
  <si>
    <r>
      <rPr>
        <sz val="11"/>
        <color theme="1"/>
        <rFont val="Calibri"/>
        <family val="2"/>
      </rPr>
      <t>Vælg rørlængde:</t>
    </r>
  </si>
  <si>
    <r>
      <rPr>
        <sz val="11"/>
        <color theme="1"/>
        <rFont val="Calibri"/>
        <family val="2"/>
      </rPr>
      <t>03 sort</t>
    </r>
  </si>
  <si>
    <r>
      <rPr>
        <sz val="11"/>
        <color theme="1"/>
        <rFont val="Calibri"/>
        <family val="2"/>
      </rPr>
      <t>PREFA vægmonteringsplade</t>
    </r>
  </si>
  <si>
    <r>
      <rPr>
        <sz val="11"/>
        <color theme="1"/>
        <rFont val="Calibri"/>
        <family val="2"/>
      </rPr>
      <t>04 teglrød</t>
    </r>
  </si>
  <si>
    <r>
      <rPr>
        <sz val="11"/>
        <color theme="1"/>
        <rFont val="Calibri"/>
        <family val="2"/>
      </rPr>
      <t>PREFA spænde til rudeformet tagplade 29 × 29</t>
    </r>
  </si>
  <si>
    <r>
      <rPr>
        <sz val="11"/>
        <color theme="1"/>
        <rFont val="Calibri"/>
        <family val="2"/>
      </rPr>
      <t>PREFA rillesøm NIRO</t>
    </r>
  </si>
  <si>
    <r>
      <rPr>
        <sz val="11"/>
        <color theme="1"/>
        <rFont val="Calibri"/>
        <family val="2"/>
      </rPr>
      <t>PREFA kasserendeendebund 500 venstre</t>
    </r>
  </si>
  <si>
    <r>
      <rPr>
        <sz val="11"/>
        <color theme="1"/>
        <rFont val="Calibri"/>
        <family val="2"/>
      </rPr>
      <t>PREFA kasserendeendebund 500 højre</t>
    </r>
  </si>
  <si>
    <r>
      <rPr>
        <sz val="11"/>
        <color theme="1"/>
        <rFont val="Calibri"/>
        <family val="2"/>
      </rPr>
      <t>45 bronze</t>
    </r>
  </si>
  <si>
    <r>
      <rPr>
        <sz val="11"/>
        <color theme="1"/>
        <rFont val="Calibri"/>
        <family val="2"/>
      </rPr>
      <t>46 patinagrøn</t>
    </r>
  </si>
  <si>
    <r>
      <rPr>
        <sz val="11"/>
        <color theme="1"/>
        <rFont val="Calibri"/>
        <family val="2"/>
      </rPr>
      <t>23 sortgrå</t>
    </r>
  </si>
  <si>
    <r>
      <rPr>
        <sz val="11"/>
        <color theme="1"/>
        <rFont val="Calibri"/>
        <family val="2"/>
      </rPr>
      <t>47 patinagrå</t>
    </r>
  </si>
  <si>
    <r>
      <rPr>
        <sz val="11"/>
        <color theme="1"/>
        <rFont val="Calibri"/>
        <family val="2"/>
      </rPr>
      <t>Artikelnr.</t>
    </r>
  </si>
  <si>
    <r>
      <rPr>
        <sz val="11"/>
        <color theme="1"/>
        <rFont val="Calibri"/>
        <family val="2"/>
      </rPr>
      <t>Taal</t>
    </r>
  </si>
  <si>
    <r>
      <rPr>
        <sz val="11"/>
        <color theme="1"/>
        <rFont val="Calibri"/>
        <family val="2"/>
      </rPr>
      <t>PREFA DAKSYSTEMEN</t>
    </r>
  </si>
  <si>
    <r>
      <rPr>
        <sz val="11"/>
        <color theme="1"/>
        <rFont val="Calibri"/>
        <family val="2"/>
      </rPr>
      <t>DAKPLAAT</t>
    </r>
  </si>
  <si>
    <r>
      <rPr>
        <sz val="11"/>
        <color theme="1"/>
        <rFont val="Calibri"/>
        <family val="2"/>
      </rPr>
      <t>TERUGZENDEN PER FAX:</t>
    </r>
  </si>
  <si>
    <r>
      <rPr>
        <sz val="11"/>
        <color theme="1"/>
        <rFont val="Calibri"/>
        <family val="2"/>
      </rPr>
      <t>OF E-MAIL:</t>
    </r>
  </si>
  <si>
    <r>
      <rPr>
        <sz val="11"/>
        <color theme="1"/>
        <rFont val="Calibri"/>
        <family val="2"/>
      </rPr>
      <t>Bedrijf/besteller:</t>
    </r>
  </si>
  <si>
    <r>
      <rPr>
        <sz val="11"/>
        <color theme="1"/>
        <rFont val="Calibri"/>
        <family val="2"/>
      </rPr>
      <t>Naam:</t>
    </r>
  </si>
  <si>
    <r>
      <rPr>
        <sz val="11"/>
        <color theme="1"/>
        <rFont val="Calibri"/>
        <family val="2"/>
      </rPr>
      <t>Straat:</t>
    </r>
  </si>
  <si>
    <r>
      <rPr>
        <sz val="11"/>
        <color theme="1"/>
        <rFont val="Calibri"/>
        <family val="2"/>
      </rPr>
      <t>Plaats:</t>
    </r>
  </si>
  <si>
    <r>
      <rPr>
        <sz val="11"/>
        <color theme="1"/>
        <rFont val="Calibri"/>
        <family val="2"/>
      </rPr>
      <t>Contactpersoon:</t>
    </r>
  </si>
  <si>
    <r>
      <rPr>
        <sz val="11"/>
        <color theme="1"/>
        <rFont val="Calibri"/>
        <family val="2"/>
      </rPr>
      <t>Telefoon:</t>
    </r>
  </si>
  <si>
    <r>
      <rPr>
        <sz val="11"/>
        <color theme="1"/>
        <rFont val="Calibri"/>
        <family val="2"/>
      </rPr>
      <t>Leveringsadres:</t>
    </r>
  </si>
  <si>
    <r>
      <rPr>
        <sz val="11"/>
        <color theme="1"/>
        <rFont val="Calibri"/>
        <family val="2"/>
      </rPr>
      <t>Groep:</t>
    </r>
  </si>
  <si>
    <r>
      <rPr>
        <sz val="11"/>
        <color theme="1"/>
        <rFont val="Calibri"/>
        <family val="2"/>
      </rPr>
      <t>Oppervlak:</t>
    </r>
  </si>
  <si>
    <r>
      <rPr>
        <sz val="11"/>
        <color theme="1"/>
        <rFont val="Calibri"/>
        <family val="2"/>
      </rPr>
      <t>glad</t>
    </r>
  </si>
  <si>
    <r>
      <rPr>
        <sz val="11"/>
        <color theme="1"/>
        <rFont val="Calibri"/>
        <family val="2"/>
      </rPr>
      <t>Aantallen in:</t>
    </r>
  </si>
  <si>
    <r>
      <rPr>
        <sz val="11"/>
        <color theme="1"/>
        <rFont val="Calibri"/>
        <family val="2"/>
      </rPr>
      <t>VPE</t>
    </r>
  </si>
  <si>
    <r>
      <rPr>
        <sz val="11"/>
        <color theme="1"/>
        <rFont val="Calibri"/>
        <family val="2"/>
      </rPr>
      <t>STKS</t>
    </r>
  </si>
  <si>
    <r>
      <rPr>
        <sz val="11"/>
        <color theme="1"/>
        <rFont val="Calibri"/>
        <family val="2"/>
      </rPr>
      <t>Kleur:</t>
    </r>
  </si>
  <si>
    <r>
      <rPr>
        <sz val="11"/>
        <color theme="1"/>
        <rFont val="Calibri"/>
        <family val="2"/>
      </rPr>
      <t>01 P.10 bruin</t>
    </r>
  </si>
  <si>
    <r>
      <rPr>
        <sz val="11"/>
        <color theme="1"/>
        <rFont val="Calibri"/>
        <family val="2"/>
      </rPr>
      <t>02 P.10 antraciet</t>
    </r>
  </si>
  <si>
    <r>
      <rPr>
        <sz val="11"/>
        <color theme="1"/>
        <rFont val="Calibri"/>
        <family val="2"/>
      </rPr>
      <t>03 P.10 zwart</t>
    </r>
  </si>
  <si>
    <r>
      <rPr>
        <sz val="11"/>
        <color theme="1"/>
        <rFont val="Calibri"/>
        <family val="2"/>
      </rPr>
      <t>04 P.10 dakpannenrood</t>
    </r>
  </si>
  <si>
    <r>
      <rPr>
        <sz val="11"/>
        <color theme="1"/>
        <rFont val="Calibri"/>
        <family val="2"/>
      </rPr>
      <t>05 P.10 oxiderood</t>
    </r>
  </si>
  <si>
    <r>
      <rPr>
        <sz val="11"/>
        <color theme="1"/>
        <rFont val="Calibri"/>
        <family val="2"/>
      </rPr>
      <t>06 P.10 mosgroen</t>
    </r>
  </si>
  <si>
    <r>
      <rPr>
        <sz val="11"/>
        <color theme="1"/>
        <rFont val="Calibri"/>
        <family val="2"/>
      </rPr>
      <t xml:space="preserve">07 P.10 lichtgrijs </t>
    </r>
  </si>
  <si>
    <r>
      <rPr>
        <sz val="11"/>
        <color theme="1"/>
        <rFont val="Calibri"/>
        <family val="2"/>
      </rPr>
      <t>11 P.10 notenkleurig</t>
    </r>
  </si>
  <si>
    <r>
      <rPr>
        <sz val="11"/>
        <color theme="1"/>
        <rFont val="Calibri"/>
        <family val="2"/>
      </rPr>
      <t>43 P.10 steengrijs</t>
    </r>
  </si>
  <si>
    <r>
      <rPr>
        <sz val="11"/>
        <color theme="1"/>
        <rFont val="Calibri"/>
        <family val="2"/>
      </rPr>
      <t>13 natuurlijk blank</t>
    </r>
  </si>
  <si>
    <r>
      <rPr>
        <sz val="11"/>
        <color theme="1"/>
        <rFont val="Calibri"/>
        <family val="2"/>
      </rPr>
      <t>geëpoxeerd</t>
    </r>
  </si>
  <si>
    <r>
      <rPr>
        <sz val="11"/>
        <color theme="1"/>
        <rFont val="Calibri"/>
        <family val="2"/>
      </rPr>
      <t>Kleur</t>
    </r>
  </si>
  <si>
    <r>
      <rPr>
        <sz val="11"/>
        <color theme="1"/>
        <rFont val="Calibri"/>
        <family val="2"/>
      </rPr>
      <t>Aantal</t>
    </r>
  </si>
  <si>
    <r>
      <rPr>
        <sz val="11"/>
        <color theme="1"/>
        <rFont val="Calibri"/>
        <family val="2"/>
      </rPr>
      <t>Eenheid</t>
    </r>
  </si>
  <si>
    <r>
      <rPr>
        <sz val="11"/>
        <color theme="1"/>
        <rFont val="Calibri"/>
        <family val="2"/>
      </rPr>
      <t>Afbeelding</t>
    </r>
  </si>
  <si>
    <r>
      <rPr>
        <sz val="11"/>
        <color theme="1"/>
        <rFont val="Calibri"/>
        <family val="2"/>
      </rPr>
      <t>Benaming</t>
    </r>
  </si>
  <si>
    <r>
      <rPr>
        <sz val="11"/>
        <color theme="1"/>
        <rFont val="Calibri"/>
        <family val="2"/>
      </rPr>
      <t>Totaal</t>
    </r>
  </si>
  <si>
    <r>
      <rPr>
        <sz val="11"/>
        <color theme="1"/>
        <rFont val="Calibri"/>
        <family val="2"/>
      </rPr>
      <t>Eventueel</t>
    </r>
  </si>
  <si>
    <r>
      <rPr>
        <sz val="11"/>
        <color theme="1"/>
        <rFont val="Calibri"/>
        <family val="2"/>
      </rPr>
      <t>m</t>
    </r>
    <r>
      <rPr>
        <vertAlign val="superscript"/>
        <sz val="11"/>
        <color theme="1"/>
        <rFont val="Calibri"/>
      </rPr>
      <t>1</t>
    </r>
  </si>
  <si>
    <r>
      <rPr>
        <sz val="11"/>
        <color theme="1"/>
        <rFont val="Calibri"/>
        <family val="2"/>
      </rPr>
      <t>Doos</t>
    </r>
  </si>
  <si>
    <r>
      <rPr>
        <sz val="11"/>
        <color theme="1"/>
        <rFont val="Calibri"/>
        <family val="2"/>
      </rPr>
      <t>Pkt</t>
    </r>
  </si>
  <si>
    <r>
      <rPr>
        <sz val="11"/>
        <color theme="1"/>
        <rFont val="Calibri"/>
        <family val="2"/>
      </rPr>
      <t>Set</t>
    </r>
  </si>
  <si>
    <r>
      <rPr>
        <sz val="11"/>
        <color theme="1"/>
        <rFont val="Calibri"/>
        <family val="2"/>
      </rPr>
      <t>Rol</t>
    </r>
  </si>
  <si>
    <r>
      <rPr>
        <sz val="11"/>
        <color theme="1"/>
        <rFont val="Calibri"/>
        <family val="2"/>
      </rPr>
      <t>Rollen</t>
    </r>
  </si>
  <si>
    <r>
      <rPr>
        <sz val="11"/>
        <color theme="1"/>
        <rFont val="Calibri"/>
        <family val="2"/>
      </rPr>
      <t>Aanvullende notitie:</t>
    </r>
  </si>
  <si>
    <r>
      <rPr>
        <sz val="11"/>
        <color theme="1"/>
        <rFont val="Calibri"/>
        <family val="2"/>
      </rPr>
      <t>PREFA dakplaat (600 x 420 mm, 40 Stks./doos) incl. groefspijkers (28/30) en gepatenteerd hechtmiddel</t>
    </r>
  </si>
  <si>
    <r>
      <rPr>
        <sz val="11"/>
        <color theme="1"/>
        <rFont val="Calibri"/>
        <family val="2"/>
      </rPr>
      <t>PREFA randstroken bruin, geperforeerd (1806 x 150 x 1,20 mm)</t>
    </r>
  </si>
  <si>
    <r>
      <rPr>
        <sz val="11"/>
        <color theme="1"/>
        <rFont val="Calibri"/>
        <family val="2"/>
      </rPr>
      <t>PREFA randstroken gerild (voor trappen 600 x 150 mm)</t>
    </r>
  </si>
  <si>
    <r>
      <rPr>
        <sz val="11"/>
        <color theme="1"/>
        <rFont val="Calibri"/>
        <family val="2"/>
      </rPr>
      <t>PREFA gepatenteerd hechtmiddel voor dakplaat en dakschindel</t>
    </r>
  </si>
  <si>
    <r>
      <rPr>
        <sz val="11"/>
        <color theme="1"/>
        <rFont val="Calibri"/>
        <family val="2"/>
      </rPr>
      <t>Klinknagelmagazijn voor het bijvullen van Bull Tack spijkerpistool
80 stks./klinknagelmagazijn, 30 mag/doos</t>
    </r>
  </si>
  <si>
    <r>
      <rPr>
        <sz val="11"/>
        <rFont val="Slimbach LT"/>
      </rPr>
      <t>selecteren</t>
    </r>
  </si>
  <si>
    <r>
      <rPr>
        <sz val="11"/>
        <rFont val="Slimbach LT"/>
      </rPr>
      <t>Aantallen/aanvraag</t>
    </r>
  </si>
  <si>
    <r>
      <rPr>
        <sz val="11"/>
        <rFont val="Slimbach LT"/>
      </rPr>
      <t>Bestelling</t>
    </r>
  </si>
  <si>
    <r>
      <rPr>
        <sz val="11"/>
        <rFont val="Slimbach LT"/>
      </rPr>
      <t>Hartelijk dank voor uw aantallen</t>
    </r>
  </si>
  <si>
    <r>
      <rPr>
        <sz val="11"/>
        <rFont val="Slimbach LT"/>
      </rPr>
      <t>Hartelijk dank voor uw bestelling</t>
    </r>
  </si>
  <si>
    <r>
      <rPr>
        <sz val="11"/>
        <rFont val="Slimbach LT"/>
      </rPr>
      <t>PREFA groefspijker gegalvaniseerd</t>
    </r>
  </si>
  <si>
    <r>
      <rPr>
        <sz val="11"/>
        <rFont val="Slimbach LT"/>
      </rPr>
      <t>28/25 (1 kg = ca. 570 stks.)</t>
    </r>
  </si>
  <si>
    <r>
      <rPr>
        <sz val="11"/>
        <rFont val="Slimbach LT"/>
      </rPr>
      <t>28/30 (1 kg = ca. 480 stks.)</t>
    </r>
  </si>
  <si>
    <r>
      <rPr>
        <sz val="11"/>
        <rFont val="Slimbach LT"/>
      </rPr>
      <t>28/40 (1 kg = ca. 380 stks.)</t>
    </r>
  </si>
  <si>
    <r>
      <rPr>
        <sz val="11"/>
        <rFont val="Slimbach LT"/>
      </rPr>
      <t>Spijkers voor Bull Tack Power spijkerpistool</t>
    </r>
  </si>
  <si>
    <r>
      <rPr>
        <sz val="11"/>
        <rFont val="Slimbach LT"/>
      </rPr>
      <t>Lengte 26 mm (3200 stks./doos)</t>
    </r>
  </si>
  <si>
    <r>
      <rPr>
        <sz val="11"/>
        <rFont val="Slimbach LT"/>
      </rPr>
      <t>Lengte 35 mm (2400 stks./doos)</t>
    </r>
  </si>
  <si>
    <r>
      <rPr>
        <sz val="11"/>
        <rFont val="Slimbach LT"/>
      </rPr>
      <t>Lengte 26 mm (3200 stks./doos) NIRO</t>
    </r>
  </si>
  <si>
    <r>
      <rPr>
        <sz val="11"/>
        <color theme="1"/>
        <rFont val="Arial"/>
        <family val="2"/>
      </rPr>
      <t>PREFA inloopplaat glad 230 × 2000 × 0,7 mm</t>
    </r>
  </si>
  <si>
    <r>
      <rPr>
        <sz val="11"/>
        <color theme="1"/>
        <rFont val="Arial"/>
        <family val="2"/>
      </rPr>
      <t>PREFA ventilatieband</t>
    </r>
  </si>
  <si>
    <r>
      <rPr>
        <sz val="11"/>
        <rFont val="Slimbach LT"/>
      </rPr>
      <t>1 x 250 (A=140 B=85 C=25 mm)</t>
    </r>
  </si>
  <si>
    <r>
      <rPr>
        <sz val="11"/>
        <rFont val="Slimbach LT"/>
      </rPr>
      <t>1 x 333 (A=223 B=85 C=25 mm)</t>
    </r>
  </si>
  <si>
    <r>
      <rPr>
        <sz val="11"/>
        <color theme="1"/>
        <rFont val="Arial"/>
        <family val="2"/>
      </rPr>
      <t>PREFA vogelbeschermingsrooster bruin/antraciet (125 x 2000 x 0,7 mm)</t>
    </r>
  </si>
  <si>
    <r>
      <rPr>
        <sz val="11"/>
        <color theme="1"/>
        <rFont val="Arial"/>
        <family val="2"/>
      </rPr>
      <t>PREFA oversteekstroken (95 x 2000 x 0,70 mm)</t>
    </r>
  </si>
  <si>
    <r>
      <rPr>
        <sz val="11"/>
        <color theme="1"/>
        <rFont val="Arial"/>
        <family val="2"/>
      </rPr>
      <t>PREFA veiligheidskiel stucco (lengte 3000 mm)</t>
    </r>
  </si>
  <si>
    <r>
      <rPr>
        <sz val="11"/>
        <color theme="1"/>
        <rFont val="Arial"/>
        <family val="2"/>
      </rPr>
      <t>PREFA graat- en vorstafdekking 500 x 1,00 mm stucco
incl. Niro-schroef 4,5 x 45 mm en afdichtingschijf</t>
    </r>
  </si>
  <si>
    <r>
      <rPr>
        <sz val="11"/>
        <color theme="1"/>
        <rFont val="Arial"/>
        <family val="2"/>
      </rPr>
      <t>PREFA graat-/vorstafdekking begin-/eindstuk stucco</t>
    </r>
  </si>
  <si>
    <r>
      <rPr>
        <sz val="11"/>
        <color theme="1"/>
        <rFont val="Arial"/>
        <family val="2"/>
      </rPr>
      <t>PREFA jetventilator stucco (1200 mm) incl. Niro-schr. en afdichtingsch.</t>
    </r>
  </si>
  <si>
    <r>
      <rPr>
        <sz val="11"/>
        <color theme="1"/>
        <rFont val="Arial"/>
        <family val="2"/>
      </rPr>
      <t>PREFA jetventilator stucco (3.000mm) incl. Niro-schr. en afdichtingsch.</t>
    </r>
  </si>
  <si>
    <r>
      <rPr>
        <sz val="11"/>
        <color theme="1"/>
        <rFont val="Arial"/>
        <family val="2"/>
      </rPr>
      <t>PREFA jetventilator-eindstuk stucco</t>
    </r>
  </si>
  <si>
    <r>
      <rPr>
        <sz val="11"/>
        <color theme="1"/>
        <rFont val="Arial"/>
        <family val="2"/>
      </rPr>
      <t>Niro-schroef met afdichtingschijf voor graat-/vorstafdekking</t>
    </r>
  </si>
  <si>
    <r>
      <rPr>
        <sz val="11"/>
        <color theme="1"/>
        <rFont val="Arial"/>
        <family val="2"/>
      </rPr>
      <t>Niro-schroef met afdichtingschijf voor jetventilator</t>
    </r>
  </si>
  <si>
    <r>
      <rPr>
        <sz val="11"/>
        <rFont val="Slimbach LT"/>
      </rPr>
      <t>(4,5 x 45 mm, 250 stks./pkt)</t>
    </r>
  </si>
  <si>
    <r>
      <rPr>
        <sz val="11"/>
        <rFont val="Slimbach LT"/>
      </rPr>
      <t>(4,5 x 45 mm, 250 stks./pkt, blank)</t>
    </r>
  </si>
  <si>
    <r>
      <rPr>
        <sz val="11"/>
        <rFont val="Slimbach LT"/>
      </rPr>
      <t>(4,5 x 60 mm, 100 stks./pkt)</t>
    </r>
  </si>
  <si>
    <r>
      <rPr>
        <sz val="11"/>
        <rFont val="Slimbach LT"/>
      </rPr>
      <t>(4,5 x 60 mm, 100 stks./pkt, blank)</t>
    </r>
  </si>
  <si>
    <r>
      <rPr>
        <sz val="11"/>
        <color theme="1"/>
        <rFont val="Arial"/>
        <family val="2"/>
      </rPr>
      <t>PREFA verluchtingskap met kikkerbekluik voor vastnieten glad
Ventilatiediameter ca. 30 cm²</t>
    </r>
  </si>
  <si>
    <r>
      <rPr>
        <sz val="11"/>
        <color theme="1"/>
        <rFont val="Arial"/>
        <family val="2"/>
      </rPr>
      <t>PREFA verluchtingskap met kikkerbekluik voor dakplaat 300 x 420 mm
Ventilatiediameter ca. 30 cm²</t>
    </r>
  </si>
  <si>
    <r>
      <rPr>
        <sz val="11"/>
        <color theme="1"/>
        <rFont val="Arial"/>
        <family val="2"/>
      </rPr>
      <t>PREFA dakluik (600 x 600 mm) compleet met houten frame</t>
    </r>
  </si>
  <si>
    <r>
      <rPr>
        <sz val="11"/>
        <color theme="1"/>
        <rFont val="Arial"/>
        <family val="2"/>
      </rPr>
      <t>PREFA omlijsting voor Velux-ramen voor platte daken stucco</t>
    </r>
  </si>
  <si>
    <r>
      <rPr>
        <sz val="11"/>
        <color theme="1"/>
        <rFont val="Arial"/>
        <family val="2"/>
      </rPr>
      <t>PREFA omlijsting voor Roto-ramen voor platte daken stucco</t>
    </r>
  </si>
  <si>
    <r>
      <rPr>
        <sz val="11"/>
        <color theme="1"/>
        <rFont val="Arial"/>
        <family val="2"/>
      </rPr>
      <t>PREFA enkele trede incl. twee voetdelen</t>
    </r>
  </si>
  <si>
    <r>
      <rPr>
        <sz val="11"/>
        <color theme="1"/>
        <rFont val="Arial"/>
        <family val="2"/>
      </rPr>
      <t>PREFA loopbrugsteun gegalvaniseerd voor loopbruggen</t>
    </r>
  </si>
  <si>
    <r>
      <rPr>
        <sz val="11"/>
        <color theme="1"/>
        <rFont val="Arial"/>
        <family val="2"/>
      </rPr>
      <t>PREFA loopbrug (250 x 1200 mm)</t>
    </r>
  </si>
  <si>
    <r>
      <rPr>
        <sz val="11"/>
        <color theme="1"/>
        <rFont val="Arial"/>
        <family val="2"/>
      </rPr>
      <t>PREFA loopbrug (250 x 800 mm)</t>
    </r>
  </si>
  <si>
    <r>
      <rPr>
        <sz val="11"/>
        <color theme="1"/>
        <rFont val="Arial"/>
        <family val="2"/>
      </rPr>
      <t>PREFA loopbrug (250 x 600 mm)</t>
    </r>
  </si>
  <si>
    <r>
      <rPr>
        <sz val="11"/>
        <color theme="1"/>
        <rFont val="Arial"/>
        <family val="2"/>
      </rPr>
      <t>PREFA loopbrug (250 x 420 mm)</t>
    </r>
  </si>
  <si>
    <r>
      <rPr>
        <sz val="11"/>
        <color theme="1"/>
        <rFont val="Arial"/>
        <family val="2"/>
      </rPr>
      <t>PREFALZ aanvullingsband</t>
    </r>
  </si>
  <si>
    <r>
      <rPr>
        <sz val="11"/>
        <rFont val="Slimbach LT"/>
      </rPr>
      <t>0,7 x 1000 mm</t>
    </r>
  </si>
  <si>
    <r>
      <rPr>
        <sz val="11"/>
        <color theme="1"/>
        <rFont val="Arial"/>
        <family val="2"/>
      </rPr>
      <t>PREFA verbindingsstuk gegalvaniseerd voor loopbrug</t>
    </r>
  </si>
  <si>
    <r>
      <rPr>
        <sz val="11"/>
        <color theme="1"/>
        <rFont val="Arial"/>
        <family val="2"/>
      </rPr>
      <t>PREFA dakveiligheidshaak conform EN 517B op voetdelen</t>
    </r>
  </si>
  <si>
    <r>
      <rPr>
        <sz val="11"/>
        <color theme="1"/>
        <rFont val="Arial"/>
        <family val="2"/>
      </rPr>
      <t>PREFA dakveiligheidshaak conform EN 517B</t>
    </r>
  </si>
  <si>
    <r>
      <rPr>
        <sz val="11"/>
        <color theme="1"/>
        <rFont val="Arial"/>
        <family val="2"/>
      </rPr>
      <t>PREFA inwerkplaat voor dakplaat, glad, Ø 80 - 125 mm</t>
    </r>
  </si>
  <si>
    <r>
      <rPr>
        <sz val="11"/>
        <color theme="1"/>
        <rFont val="Arial"/>
        <family val="2"/>
      </rPr>
      <t>PREFA universele omlijsting 2-delig, glad, Ø 40 - 120 mm</t>
    </r>
  </si>
  <si>
    <r>
      <rPr>
        <sz val="11"/>
        <rFont val="Slimbach LT"/>
      </rPr>
      <t>MET isolatie</t>
    </r>
  </si>
  <si>
    <r>
      <rPr>
        <sz val="11"/>
        <rFont val="Slimbach LT"/>
      </rPr>
      <t>ZONDER isolatie</t>
    </r>
  </si>
  <si>
    <r>
      <rPr>
        <sz val="11"/>
        <rFont val="Slimbach LT"/>
      </rPr>
      <t>Afmetingen:</t>
    </r>
  </si>
  <si>
    <r>
      <rPr>
        <sz val="11"/>
        <rFont val="Slimbach LT"/>
      </rPr>
      <t>mosgroen/lichtgrijs</t>
    </r>
  </si>
  <si>
    <r>
      <rPr>
        <sz val="11"/>
        <rFont val="Slimbach LT"/>
      </rPr>
      <t>bruin/antraciet</t>
    </r>
  </si>
  <si>
    <r>
      <rPr>
        <sz val="11"/>
        <rFont val="Slimbach LT"/>
      </rPr>
      <t>dakpannenrood/oxiderood</t>
    </r>
  </si>
  <si>
    <r>
      <rPr>
        <sz val="11"/>
        <rFont val="Slimbach LT"/>
      </rPr>
      <t>prefawit/prefawit</t>
    </r>
  </si>
  <si>
    <r>
      <rPr>
        <sz val="11"/>
        <color theme="1"/>
        <rFont val="Arial"/>
        <family val="2"/>
      </rPr>
      <t>PREFA ventilatiekap Ø 100, glad</t>
    </r>
  </si>
  <si>
    <r>
      <rPr>
        <sz val="11"/>
        <color theme="1"/>
        <rFont val="Arial"/>
        <family val="2"/>
      </rPr>
      <t>PREFA ventilatiebuis Ø 100, geschikt voor HT-buis NW 110</t>
    </r>
  </si>
  <si>
    <r>
      <rPr>
        <sz val="11"/>
        <color theme="1"/>
        <rFont val="Arial"/>
        <family val="2"/>
      </rPr>
      <t>PREFA ventilatiebuis Ø 120, geschikt voor HT-buis NW 125</t>
    </r>
  </si>
  <si>
    <r>
      <rPr>
        <sz val="11"/>
        <color theme="1"/>
        <rFont val="Arial"/>
        <family val="2"/>
      </rPr>
      <t>PREFA vouwmof Ø 100 - 130</t>
    </r>
  </si>
  <si>
    <r>
      <rPr>
        <sz val="11"/>
        <color theme="1"/>
        <rFont val="Arial"/>
        <family val="2"/>
      </rPr>
      <t>PREFA steunplaat L=660 x B=125 mm, stucco</t>
    </r>
  </si>
  <si>
    <r>
      <rPr>
        <sz val="11"/>
        <color theme="1"/>
        <rFont val="Arial"/>
        <family val="2"/>
      </rPr>
      <t>PREFA steunplaat L=540 x B=125 mm, stucco</t>
    </r>
  </si>
  <si>
    <r>
      <rPr>
        <sz val="11"/>
        <color theme="1"/>
        <rFont val="Arial"/>
        <family val="2"/>
      </rPr>
      <t>PREFA sneeuwstopper voor dakplaat en DAKLOSANGE 29 × 29</t>
    </r>
  </si>
  <si>
    <r>
      <rPr>
        <sz val="11"/>
        <color theme="1"/>
        <rFont val="Arial"/>
        <family val="2"/>
      </rPr>
      <t>PREFA sneeuwharkhaken</t>
    </r>
  </si>
  <si>
    <r>
      <rPr>
        <sz val="11"/>
        <color theme="1"/>
        <rFont val="Arial"/>
        <family val="2"/>
      </rPr>
      <t>PREFA ronde stang (15 Ø x 3000 mm) voor sneeuwharkhaak</t>
    </r>
  </si>
  <si>
    <r>
      <rPr>
        <sz val="11"/>
        <color theme="1"/>
        <rFont val="Arial"/>
        <family val="2"/>
      </rPr>
      <t>PREFA afsluiting voor sneeuwhark</t>
    </r>
  </si>
  <si>
    <r>
      <rPr>
        <sz val="11"/>
        <color theme="1"/>
        <rFont val="Arial"/>
        <family val="2"/>
      </rPr>
      <t>PREFA sneeuwharksysteem (205 x 66 x 303 mm)</t>
    </r>
  </si>
  <si>
    <r>
      <rPr>
        <sz val="11"/>
        <color theme="1"/>
        <rFont val="Arial"/>
        <family val="2"/>
      </rPr>
      <t>PREFA sneeuwharksysteem inlegprofiel (3000 mm)</t>
    </r>
  </si>
  <si>
    <r>
      <rPr>
        <sz val="11"/>
        <color theme="1"/>
        <rFont val="Arial"/>
        <family val="2"/>
      </rPr>
      <t>PREFA sneeuwharksysteem ijsklauw</t>
    </r>
  </si>
  <si>
    <r>
      <rPr>
        <sz val="11"/>
        <color theme="1"/>
        <rFont val="Arial"/>
        <family val="2"/>
      </rPr>
      <t>PREFA sneeuwharksysteem afsluiting</t>
    </r>
  </si>
  <si>
    <r>
      <rPr>
        <sz val="11"/>
        <color theme="1"/>
        <rFont val="Arial"/>
        <family val="2"/>
      </rPr>
      <t>PREFA sneeuwvangsteun voor in het gebergte</t>
    </r>
  </si>
  <si>
    <r>
      <rPr>
        <sz val="11"/>
        <color theme="1"/>
        <rFont val="Arial"/>
        <family val="2"/>
      </rPr>
      <t>PREFA schoorsteenkap 700 x 700 mm</t>
    </r>
  </si>
  <si>
    <r>
      <rPr>
        <sz val="11"/>
        <color theme="1"/>
        <rFont val="Arial"/>
        <family val="2"/>
      </rPr>
      <t>PREFA schoorsteenkap 800 x 800 mm</t>
    </r>
  </si>
  <si>
    <r>
      <rPr>
        <sz val="11"/>
        <color theme="1"/>
        <rFont val="Arial"/>
        <family val="2"/>
      </rPr>
      <t>PREFA schoorsteenkap 1000 x 700 mm</t>
    </r>
  </si>
  <si>
    <r>
      <rPr>
        <sz val="11"/>
        <color theme="1"/>
        <rFont val="Arial"/>
        <family val="2"/>
      </rPr>
      <t>PREFA schoorsteenkap 1100 x 800 mm</t>
    </r>
  </si>
  <si>
    <r>
      <rPr>
        <sz val="11"/>
        <color theme="1"/>
        <rFont val="Arial"/>
        <family val="2"/>
      </rPr>
      <t>PREFA schoorsteenkap 1500 x 800 mm</t>
    </r>
  </si>
  <si>
    <r>
      <rPr>
        <sz val="11"/>
        <color theme="1"/>
        <rFont val="Arial"/>
        <family val="2"/>
      </rPr>
      <t>Schoorsteenstrook gebogen</t>
    </r>
  </si>
  <si>
    <r>
      <rPr>
        <sz val="11"/>
        <color theme="1"/>
        <rFont val="Arial"/>
        <family val="2"/>
      </rPr>
      <t>PREFA vlak profiel (35 x 7 x 3000 mm)</t>
    </r>
  </si>
  <si>
    <r>
      <rPr>
        <sz val="11"/>
        <color theme="1"/>
        <rFont val="Arial"/>
        <family val="2"/>
      </rPr>
      <t>PREFA slagdop, voor het afdekken van bevestigingsmiddelen</t>
    </r>
  </si>
  <si>
    <r>
      <rPr>
        <sz val="11"/>
        <color theme="1"/>
        <rFont val="Arial"/>
        <family val="2"/>
      </rPr>
      <t>PREFA siliconen cartouche</t>
    </r>
  </si>
  <si>
    <r>
      <rPr>
        <sz val="11"/>
        <color theme="1"/>
        <rFont val="Arial"/>
        <family val="2"/>
      </rPr>
      <t>PREFA speciale lijmset</t>
    </r>
  </si>
  <si>
    <r>
      <rPr>
        <sz val="11"/>
        <color theme="1"/>
        <rFont val="Arial"/>
        <family val="2"/>
      </rPr>
      <t>PREFA groefijzer</t>
    </r>
  </si>
  <si>
    <r>
      <rPr>
        <sz val="11"/>
        <color theme="1"/>
        <rFont val="Arial"/>
        <family val="2"/>
      </rPr>
      <t>PREFA spanijzer</t>
    </r>
  </si>
  <si>
    <r>
      <rPr>
        <sz val="11"/>
        <color theme="1"/>
        <rFont val="Arial"/>
        <family val="2"/>
      </rPr>
      <t>PREFA geperforeerde plaat DM 5 mm
ca. 24 kg/rol (0,7 x 1000 mm)</t>
    </r>
  </si>
  <si>
    <r>
      <rPr>
        <sz val="11"/>
        <color theme="1"/>
        <rFont val="Calibri"/>
        <family val="2"/>
      </rPr>
      <t>Aanvullingsband 1,0 x 1000 mm (alleen voor randstroken)</t>
    </r>
  </si>
  <si>
    <r>
      <rPr>
        <sz val="11"/>
        <rFont val="Slimbach LT"/>
      </rPr>
      <t>lichtgrijs/lichtgrijs</t>
    </r>
  </si>
  <si>
    <r>
      <rPr>
        <sz val="11"/>
        <color theme="1"/>
        <rFont val="Arial"/>
        <family val="2"/>
      </rPr>
      <t>Toepassingstechniek</t>
    </r>
  </si>
  <si>
    <r>
      <rPr>
        <sz val="11"/>
        <color theme="1"/>
        <rFont val="Calibri"/>
        <family val="2"/>
      </rPr>
      <t>Versie:</t>
    </r>
  </si>
  <si>
    <r>
      <rPr>
        <sz val="11"/>
        <color theme="1"/>
        <rFont val="Calibri"/>
        <family val="2"/>
      </rPr>
      <t>PREFALZ aanvullingsband 1,0 x 1000 mm (alleen voor randstroken)</t>
    </r>
  </si>
  <si>
    <r>
      <rPr>
        <sz val="11"/>
        <color theme="1"/>
        <rFont val="Calibri"/>
        <family val="2"/>
      </rPr>
      <t>PREFALZ aanvullingsband 0,7 x 1000 mm (voor aanvullend plaatwerk)</t>
    </r>
  </si>
  <si>
    <r>
      <rPr>
        <sz val="11"/>
        <color theme="1"/>
        <rFont val="Calibri"/>
        <family val="2"/>
      </rPr>
      <t>12 zilvermetallic</t>
    </r>
  </si>
  <si>
    <r>
      <rPr>
        <sz val="11"/>
        <color theme="1"/>
        <rFont val="Calibri"/>
        <family val="2"/>
      </rPr>
      <t>0,75 l pot</t>
    </r>
  </si>
  <si>
    <r>
      <rPr>
        <sz val="11"/>
        <color theme="1"/>
        <rFont val="Calibri"/>
        <family val="2"/>
      </rPr>
      <t>1500 mm</t>
    </r>
  </si>
  <si>
    <r>
      <rPr>
        <sz val="11"/>
        <color theme="1"/>
        <rFont val="Calibri"/>
        <family val="2"/>
      </rPr>
      <t>1: Selecteer het gewenste product door te klikken op het tabblad.</t>
    </r>
  </si>
  <si>
    <r>
      <rPr>
        <sz val="11"/>
        <color theme="1"/>
        <rFont val="Calibri"/>
        <family val="2"/>
      </rPr>
      <t>100 – 160 mm</t>
    </r>
  </si>
  <si>
    <r>
      <rPr>
        <sz val="11"/>
        <color theme="1"/>
        <rFont val="Calibri"/>
        <family val="2"/>
      </rPr>
      <t>100 – 180 mm</t>
    </r>
  </si>
  <si>
    <r>
      <rPr>
        <sz val="11"/>
        <color theme="1"/>
        <rFont val="Calibri"/>
        <family val="2"/>
      </rPr>
      <t>100 ⌀ 700 – 1100 mm</t>
    </r>
  </si>
  <si>
    <r>
      <rPr>
        <sz val="11"/>
        <color theme="1"/>
        <rFont val="Calibri"/>
        <family val="2"/>
      </rPr>
      <t>100 ⌀ × 1450 mm</t>
    </r>
  </si>
  <si>
    <r>
      <rPr>
        <sz val="11"/>
        <color theme="1"/>
        <rFont val="Calibri"/>
        <family val="2"/>
      </rPr>
      <t>100 × ⌀ 50 – 75 mm</t>
    </r>
  </si>
  <si>
    <r>
      <rPr>
        <sz val="11"/>
        <color theme="1"/>
        <rFont val="Calibri"/>
        <family val="2"/>
      </rPr>
      <t>180 – 220 mm</t>
    </r>
  </si>
  <si>
    <r>
      <rPr>
        <sz val="11"/>
        <color theme="1"/>
        <rFont val="Calibri"/>
        <family val="2"/>
      </rPr>
      <t>180 – 260 mm</t>
    </r>
  </si>
  <si>
    <r>
      <rPr>
        <sz val="11"/>
        <color theme="1"/>
        <rFont val="Calibri"/>
        <family val="2"/>
      </rPr>
      <t>lengte 195 mm</t>
    </r>
  </si>
  <si>
    <r>
      <rPr>
        <sz val="11"/>
        <color theme="1"/>
        <rFont val="Calibri"/>
        <family val="2"/>
      </rPr>
      <t>2: Alle grijze velden kunnen worden ingevuld of zijn van een voorgedefinieerde selectielijst voorzien.</t>
    </r>
  </si>
  <si>
    <r>
      <rPr>
        <sz val="11"/>
        <color theme="1"/>
        <rFont val="Calibri"/>
        <family val="2"/>
      </rPr>
      <t>230 × 2000 × 0,7 mm</t>
    </r>
  </si>
  <si>
    <r>
      <rPr>
        <sz val="11"/>
        <color theme="1"/>
        <rFont val="Calibri"/>
        <family val="2"/>
      </rPr>
      <t>290 ml is voldoende voor ca. 4 m</t>
    </r>
    <r>
      <rPr>
        <vertAlign val="superscript"/>
        <sz val="11"/>
        <color theme="1"/>
        <rFont val="Calibri"/>
      </rPr>
      <t>1</t>
    </r>
  </si>
  <si>
    <r>
      <rPr>
        <sz val="11"/>
        <color theme="1"/>
        <rFont val="Calibri"/>
        <family val="2"/>
      </rPr>
      <t>3000 mm</t>
    </r>
  </si>
  <si>
    <r>
      <rPr>
        <sz val="11"/>
        <color theme="1"/>
        <rFont val="Calibri"/>
        <family val="2"/>
      </rPr>
      <t>3: Alle optievelden kunnen worden afgevinkt.</t>
    </r>
  </si>
  <si>
    <r>
      <rPr>
        <sz val="11"/>
        <color theme="1"/>
        <rFont val="Calibri"/>
        <family val="2"/>
      </rPr>
      <t>4: Indien als kleur geëpoxeerd werd gekozen, verschijnt een extra invoerveld voor de coatingkleur.</t>
    </r>
  </si>
  <si>
    <r>
      <rPr>
        <sz val="11"/>
        <color theme="1"/>
        <rFont val="Calibri"/>
        <family val="2"/>
      </rPr>
      <t>4: De aantallen kunnen naar wens in stuks (stks.) of afgerond op de volgende verpakkingseenheid (VPE) worden berekend.</t>
    </r>
  </si>
  <si>
    <r>
      <rPr>
        <sz val="11"/>
        <color theme="1"/>
        <rFont val="Calibri"/>
        <family val="2"/>
      </rPr>
      <t>50 ml pot met kwast</t>
    </r>
  </si>
  <si>
    <r>
      <rPr>
        <sz val="11"/>
        <color theme="1"/>
        <rFont val="Calibri"/>
        <family val="2"/>
      </rPr>
      <t>6000 × 375 mm</t>
    </r>
  </si>
  <si>
    <r>
      <rPr>
        <sz val="11"/>
        <color theme="1"/>
        <rFont val="Calibri"/>
        <family val="2"/>
      </rPr>
      <t>4: Eventuele posities kunnen hier worden gemarkeerd.</t>
    </r>
  </si>
  <si>
    <r>
      <rPr>
        <sz val="11"/>
        <color theme="1"/>
        <rFont val="Calibri"/>
        <family val="2"/>
      </rPr>
      <t>Reikwijdte 60 mm</t>
    </r>
  </si>
  <si>
    <r>
      <rPr>
        <sz val="11"/>
        <color theme="1"/>
        <rFont val="Calibri"/>
        <family val="2"/>
      </rPr>
      <t>60 ⌀ × 3000 mm</t>
    </r>
  </si>
  <si>
    <r>
      <rPr>
        <sz val="11"/>
        <color theme="1"/>
        <rFont val="Calibri"/>
        <family val="2"/>
      </rPr>
      <t>5: Aan het einde van de tabel kunnen artikelen worden ingevoerd die niet in de lijst zijn vermeld.</t>
    </r>
  </si>
  <si>
    <r>
      <rPr>
        <sz val="11"/>
        <color theme="1"/>
        <rFont val="Calibri"/>
        <family val="2"/>
      </rPr>
      <t>6: Hier kunnen aanvullende noties worden ingevoegd.</t>
    </r>
  </si>
  <si>
    <r>
      <rPr>
        <sz val="11"/>
        <color theme="1"/>
        <rFont val="Calibri"/>
        <family val="2"/>
      </rPr>
      <t>7: Posten die niet nodig zijn, kunnen door de filter worden verborgen.</t>
    </r>
  </si>
  <si>
    <r>
      <rPr>
        <sz val="11"/>
        <color theme="1"/>
        <rFont val="Calibri"/>
        <family val="2"/>
      </rPr>
      <t>Afloopdimensie:</t>
    </r>
  </si>
  <si>
    <r>
      <rPr>
        <sz val="11"/>
        <color theme="1"/>
        <rFont val="Calibri"/>
        <family val="2"/>
      </rPr>
      <t>02 antraciet</t>
    </r>
  </si>
  <si>
    <r>
      <rPr>
        <sz val="11"/>
        <color theme="1"/>
        <rFont val="Calibri"/>
        <family val="2"/>
      </rPr>
      <t>Gebruikershandleiding</t>
    </r>
  </si>
  <si>
    <r>
      <rPr>
        <sz val="11"/>
        <color theme="1"/>
        <rFont val="Calibri"/>
        <family val="2"/>
      </rPr>
      <t>01 bruin</t>
    </r>
  </si>
  <si>
    <r>
      <rPr>
        <sz val="11"/>
        <color theme="1"/>
        <rFont val="Calibri"/>
        <family val="2"/>
      </rPr>
      <t>DAKAFWATERING</t>
    </r>
  </si>
  <si>
    <r>
      <rPr>
        <sz val="11"/>
        <color theme="1"/>
        <rFont val="Calibri"/>
        <family val="2"/>
      </rPr>
      <t>DAKPANEEL FX.12</t>
    </r>
  </si>
  <si>
    <r>
      <rPr>
        <sz val="11"/>
        <color theme="1"/>
        <rFont val="Calibri"/>
        <family val="2"/>
      </rPr>
      <t>DAKPLAAT R.16</t>
    </r>
  </si>
  <si>
    <r>
      <rPr>
        <sz val="11"/>
        <color theme="1"/>
        <rFont val="Calibri"/>
        <family val="2"/>
      </rPr>
      <t>DAKLOSANGE 29 × 29</t>
    </r>
  </si>
  <si>
    <r>
      <rPr>
        <sz val="11"/>
        <color theme="1"/>
        <rFont val="Calibri"/>
        <family val="2"/>
      </rPr>
      <t>DAKLOSANGE 44 × 44</t>
    </r>
  </si>
  <si>
    <r>
      <rPr>
        <sz val="11"/>
        <color theme="1"/>
        <rFont val="Calibri"/>
        <family val="2"/>
      </rPr>
      <t>DAKSCHINDEL</t>
    </r>
  </si>
  <si>
    <r>
      <rPr>
        <sz val="11"/>
        <color theme="1"/>
        <rFont val="Calibri"/>
        <family val="2"/>
      </rPr>
      <t>Dimensie niet mogelijk</t>
    </r>
  </si>
  <si>
    <r>
      <rPr>
        <sz val="11"/>
        <color theme="1"/>
        <rFont val="Calibri"/>
        <family val="2"/>
      </rPr>
      <t>Dimensie kiezen:</t>
    </r>
  </si>
  <si>
    <r>
      <rPr>
        <sz val="11"/>
        <color theme="1"/>
        <rFont val="Calibri"/>
        <family val="2"/>
      </rPr>
      <t>07 lichtgrijs</t>
    </r>
  </si>
  <si>
    <r>
      <rPr>
        <sz val="11"/>
        <color theme="1"/>
        <rFont val="Calibri"/>
        <family val="2"/>
      </rPr>
      <t>Lengte kiezen:</t>
    </r>
  </si>
  <si>
    <r>
      <rPr>
        <sz val="11"/>
        <color theme="1"/>
        <rFont val="Calibri"/>
        <family val="2"/>
      </rPr>
      <t>06 mosgroen</t>
    </r>
  </si>
  <si>
    <r>
      <rPr>
        <sz val="11"/>
        <color theme="1"/>
        <rFont val="Calibri"/>
        <family val="2"/>
      </rPr>
      <t>normaal</t>
    </r>
  </si>
  <si>
    <r>
      <rPr>
        <sz val="11"/>
        <color theme="1"/>
        <rFont val="Calibri"/>
        <family val="2"/>
      </rPr>
      <t>11 notenkleurig</t>
    </r>
  </si>
  <si>
    <r>
      <rPr>
        <sz val="11"/>
        <color theme="1"/>
        <rFont val="Calibri"/>
        <family val="2"/>
      </rPr>
      <t>⌀ 100 mm geschikt voor HT/KG (NW 110 mm)</t>
    </r>
  </si>
  <si>
    <r>
      <rPr>
        <sz val="11"/>
        <color theme="1"/>
        <rFont val="Calibri"/>
        <family val="2"/>
      </rPr>
      <t>⌀ 115 mm geschikt voor HT/KG (NW 125 mm)</t>
    </r>
  </si>
  <si>
    <r>
      <rPr>
        <sz val="11"/>
        <color theme="1"/>
        <rFont val="Calibri"/>
        <family val="2"/>
      </rPr>
      <t>05 oxiderood</t>
    </r>
  </si>
  <si>
    <r>
      <rPr>
        <sz val="11"/>
        <color theme="1"/>
        <rFont val="Calibri"/>
        <family val="2"/>
      </rPr>
      <t>PREFA afdekkap voor klembeugeldoorn</t>
    </r>
  </si>
  <si>
    <r>
      <rPr>
        <sz val="11"/>
        <color theme="1"/>
        <rFont val="Calibri"/>
        <family val="2"/>
      </rPr>
      <t>PREFA afloopketting 5 mm</t>
    </r>
  </si>
  <si>
    <r>
      <rPr>
        <sz val="11"/>
        <color theme="1"/>
        <rFont val="Calibri"/>
        <family val="2"/>
      </rPr>
      <t>PREFA afloopbuis 1,6 mm DN 100</t>
    </r>
  </si>
  <si>
    <r>
      <rPr>
        <sz val="11"/>
        <color theme="1"/>
        <rFont val="Calibri"/>
        <family val="2"/>
      </rPr>
      <t>PREFA afloopbuis DN 60 gelast</t>
    </r>
  </si>
  <si>
    <r>
      <rPr>
        <sz val="11"/>
        <color theme="1"/>
        <rFont val="Calibri"/>
        <family val="2"/>
      </rPr>
      <t>PREFA afloopbuizen</t>
    </r>
  </si>
  <si>
    <r>
      <rPr>
        <sz val="11"/>
        <color theme="1"/>
        <rFont val="Calibri"/>
        <family val="2"/>
      </rPr>
      <t>PREFA aluminium dakgoot met beschermfolie buiten</t>
    </r>
  </si>
  <si>
    <r>
      <rPr>
        <sz val="11"/>
        <color theme="1"/>
        <rFont val="Calibri"/>
        <family val="2"/>
      </rPr>
      <t>PREFA aluminium bakgoot</t>
    </r>
  </si>
  <si>
    <r>
      <rPr>
        <sz val="11"/>
        <color theme="1"/>
        <rFont val="Calibri"/>
        <family val="2"/>
      </rPr>
      <t>PREFA aluminium-soldeerstaven</t>
    </r>
  </si>
  <si>
    <r>
      <rPr>
        <sz val="11"/>
        <color theme="1"/>
        <rFont val="Calibri"/>
        <family val="2"/>
      </rPr>
      <t>PREFA bliksemafleiderklem</t>
    </r>
  </si>
  <si>
    <r>
      <rPr>
        <sz val="11"/>
        <color theme="1"/>
        <rFont val="Calibri"/>
        <family val="2"/>
      </rPr>
      <t>PREFA bovenbeugel</t>
    </r>
  </si>
  <si>
    <r>
      <rPr>
        <sz val="11"/>
        <color theme="1"/>
        <rFont val="Calibri"/>
        <family val="2"/>
      </rPr>
      <t>PREFA dakluikdeksel</t>
    </r>
  </si>
  <si>
    <r>
      <rPr>
        <sz val="10"/>
        <rFont val="Slimbach LT"/>
      </rPr>
      <t>PREFA dakluikdeksel met houten frame
(binnenmaat 600 x 600 mm)</t>
    </r>
  </si>
  <si>
    <r>
      <rPr>
        <sz val="10"/>
        <rFont val="Slimbach LT"/>
      </rPr>
      <t>PREFA dakluikdeksel
(binnenmaat 600 x 600 mm)</t>
    </r>
  </si>
  <si>
    <r>
      <rPr>
        <sz val="11"/>
        <color theme="1"/>
        <rFont val="Calibri"/>
        <family val="2"/>
      </rPr>
      <t>PREFA dakplaat R.16 (700 × 420 mm)</t>
    </r>
  </si>
  <si>
    <r>
      <rPr>
        <sz val="11"/>
        <color theme="1"/>
        <rFont val="Calibri"/>
        <family val="2"/>
      </rPr>
      <t>PREFA daklosange (29 × 29 mm, 120 stks./doos)</t>
    </r>
  </si>
  <si>
    <r>
      <rPr>
        <sz val="11"/>
        <color theme="1"/>
        <rFont val="Calibri"/>
        <family val="2"/>
      </rPr>
      <t>PREFA daklosange (440 × 440 mm, 42 stks./doos)</t>
    </r>
  </si>
  <si>
    <r>
      <rPr>
        <sz val="11"/>
        <color theme="1"/>
        <rFont val="Calibri"/>
        <family val="2"/>
      </rPr>
      <t>PREFA DAKGOOTSYSTEMEN</t>
    </r>
  </si>
  <si>
    <r>
      <rPr>
        <sz val="11"/>
        <color theme="1"/>
        <rFont val="Calibri"/>
        <family val="2"/>
      </rPr>
      <t>PREFA dakschindel (420 x 240 mm)</t>
    </r>
  </si>
  <si>
    <r>
      <rPr>
        <sz val="11"/>
        <color theme="1"/>
        <rFont val="Calibri"/>
        <family val="2"/>
      </rPr>
      <t>PREFA Dila</t>
    </r>
  </si>
  <si>
    <r>
      <rPr>
        <sz val="11"/>
        <color theme="1"/>
        <rFont val="Calibri"/>
        <family val="2"/>
      </rPr>
      <t>PREFA enkel aanslagpunt (EAP) conform EN 795, klasse A (tot strokenbreedte 650)</t>
    </r>
  </si>
  <si>
    <r>
      <rPr>
        <sz val="11"/>
        <color theme="1"/>
        <rFont val="Calibri"/>
        <family val="2"/>
      </rPr>
      <t>PREFA hoekverbinding voor PREFA buis</t>
    </r>
  </si>
  <si>
    <r>
      <rPr>
        <sz val="11"/>
        <color theme="1"/>
        <rFont val="Arial"/>
        <family val="2"/>
      </rPr>
      <t>PREFA inwerkplaat voor dakplaat R.16 en FX.12, glad, ⌀ 80 – 125 mm</t>
    </r>
  </si>
  <si>
    <r>
      <rPr>
        <sz val="11"/>
        <color theme="1"/>
        <rFont val="Arial"/>
        <family val="2"/>
      </rPr>
      <t>PREFA inwerkplaat voor daklosange 29 × 29, glad, ⌀ 80 – 125 mm</t>
    </r>
  </si>
  <si>
    <r>
      <rPr>
        <sz val="11"/>
        <color theme="1"/>
        <rFont val="Arial"/>
        <family val="2"/>
      </rPr>
      <t>PREFA inwerkplaat voor daklosange 44 × 44, glad, ⌀ 80 – 125 mm</t>
    </r>
  </si>
  <si>
    <r>
      <rPr>
        <sz val="11"/>
        <color theme="1"/>
        <rFont val="Arial"/>
        <family val="2"/>
      </rPr>
      <t>PREFA inwerkplaat voor dakschindel</t>
    </r>
  </si>
  <si>
    <r>
      <rPr>
        <sz val="11"/>
        <color theme="1"/>
        <rFont val="Calibri"/>
        <family val="2"/>
      </rPr>
      <t>PREFA inloopplaat 230 × 2000 × 0,7 mm</t>
    </r>
  </si>
  <si>
    <r>
      <rPr>
        <sz val="11"/>
        <color theme="1"/>
        <rFont val="Calibri"/>
        <family val="2"/>
      </rPr>
      <t>PREFA inloopplaat glad</t>
    </r>
  </si>
  <si>
    <r>
      <rPr>
        <sz val="11"/>
        <color theme="1"/>
        <rFont val="Calibri"/>
        <family val="2"/>
      </rPr>
      <t>PREFA ijsvanger</t>
    </r>
  </si>
  <si>
    <r>
      <rPr>
        <sz val="11"/>
        <color theme="1"/>
        <rFont val="Calibri"/>
        <family val="2"/>
      </rPr>
      <t>PREFA eindplaat (1,48 stks./m</t>
    </r>
    <r>
      <rPr>
        <vertAlign val="superscript"/>
        <sz val="11"/>
        <color theme="1"/>
        <rFont val="Calibri"/>
      </rPr>
      <t>1</t>
    </r>
    <r>
      <rPr>
        <sz val="11"/>
        <color theme="1"/>
        <rFont val="Calibri"/>
        <family val="2"/>
      </rPr>
      <t>, 40 stks./doos)</t>
    </r>
  </si>
  <si>
    <r>
      <rPr>
        <sz val="11"/>
        <color theme="1"/>
        <rFont val="Calibri"/>
        <family val="2"/>
      </rPr>
      <t>PREFA eindplaat (2,2 stks./m</t>
    </r>
    <r>
      <rPr>
        <vertAlign val="superscript"/>
        <sz val="11"/>
        <color theme="1"/>
        <rFont val="Calibri"/>
      </rPr>
      <t>1</t>
    </r>
    <r>
      <rPr>
        <sz val="11"/>
        <color theme="1"/>
        <rFont val="Calibri"/>
        <family val="2"/>
      </rPr>
      <t>, 100 stks./doos)</t>
    </r>
  </si>
  <si>
    <r>
      <rPr>
        <sz val="11"/>
        <color theme="1"/>
        <rFont val="Calibri"/>
        <family val="2"/>
      </rPr>
      <t>PREFA ventilatiebuis ⌀ 100</t>
    </r>
  </si>
  <si>
    <r>
      <rPr>
        <sz val="11"/>
        <color theme="1"/>
        <rFont val="Calibri"/>
        <family val="2"/>
      </rPr>
      <t>PREFA ventilatiebuis ⌀ 120</t>
    </r>
  </si>
  <si>
    <r>
      <rPr>
        <sz val="11"/>
        <color theme="1"/>
        <rFont val="Calibri"/>
        <family val="2"/>
      </rPr>
      <t>PREFA felsgel</t>
    </r>
  </si>
  <si>
    <r>
      <rPr>
        <sz val="11"/>
        <color theme="1"/>
        <rFont val="Arial"/>
        <family val="2"/>
      </rPr>
      <t>PREFA verluchtingskap met kikkerbekluik stucco voor dakschindel 420 x 240 mm
Ventilatiediameter ca. 30 cm²</t>
    </r>
  </si>
  <si>
    <r>
      <rPr>
        <sz val="11"/>
        <color theme="1"/>
        <rFont val="Calibri"/>
        <family val="2"/>
      </rPr>
      <t>PREFA verluchtingskap met kikkerbekluik voor vastnieten, ventilatiediameter ca. 30 cm²</t>
    </r>
  </si>
  <si>
    <r>
      <rPr>
        <sz val="11"/>
        <color theme="1"/>
        <rFont val="Calibri"/>
        <family val="2"/>
      </rPr>
      <t>PREFA FX.12 dakpaneel kort (700 × 420 mm)</t>
    </r>
  </si>
  <si>
    <r>
      <rPr>
        <sz val="11"/>
        <color theme="1"/>
        <rFont val="Calibri"/>
        <family val="2"/>
      </rPr>
      <t>PREFA FX.12 dakpaneel lang (1400 × 420 mm)</t>
    </r>
  </si>
  <si>
    <r>
      <rPr>
        <sz val="11"/>
        <color theme="1"/>
        <rFont val="Calibri"/>
        <family val="2"/>
      </rPr>
      <t>PREFA rubberdichting geschikt voor HT/KG (NW 110 mm)</t>
    </r>
  </si>
  <si>
    <r>
      <rPr>
        <sz val="11"/>
        <color theme="1"/>
        <rFont val="Calibri"/>
        <family val="2"/>
      </rPr>
      <t>PREFA bevestigingsklem</t>
    </r>
  </si>
  <si>
    <r>
      <rPr>
        <sz val="11"/>
        <color theme="1"/>
        <rFont val="Calibri"/>
        <family val="2"/>
      </rPr>
      <t>PREFA hanggoot-Dila met rand en kap</t>
    </r>
  </si>
  <si>
    <r>
      <rPr>
        <sz val="11"/>
        <color theme="1"/>
        <rFont val="Calibri"/>
        <family val="2"/>
      </rPr>
      <t>PREFA hanggoot-Dila zonder rand en kap</t>
    </r>
  </si>
  <si>
    <r>
      <rPr>
        <sz val="10"/>
        <rFont val="Slimbach LT"/>
      </rPr>
      <t>PREFA houten frame
(binnenmaat 600 x 600 mm)</t>
    </r>
  </si>
  <si>
    <r>
      <rPr>
        <sz val="11"/>
        <color theme="1"/>
        <rFont val="Calibri"/>
        <family val="2"/>
      </rPr>
      <t>PREFA bakgoot-Dila met rand en kap</t>
    </r>
  </si>
  <si>
    <r>
      <rPr>
        <sz val="11"/>
        <color theme="1"/>
        <rFont val="Calibri"/>
        <family val="2"/>
      </rPr>
      <t>PREFA bakgoot-Dila zonder rand en kap</t>
    </r>
  </si>
  <si>
    <r>
      <rPr>
        <sz val="11"/>
        <color theme="1"/>
        <rFont val="Calibri"/>
        <family val="2"/>
      </rPr>
      <t>PREFA bakgootbodem</t>
    </r>
  </si>
  <si>
    <r>
      <rPr>
        <sz val="11"/>
        <color theme="1"/>
        <rFont val="Calibri"/>
        <family val="2"/>
      </rPr>
      <t>PREFA bakgootvergaarbak</t>
    </r>
  </si>
  <si>
    <r>
      <rPr>
        <sz val="11"/>
        <color theme="1"/>
        <rFont val="Calibri"/>
        <family val="2"/>
      </rPr>
      <t>PREFA bakgoothoek buiten 90°</t>
    </r>
  </si>
  <si>
    <r>
      <rPr>
        <sz val="11"/>
        <color theme="1"/>
        <rFont val="Calibri"/>
        <family val="2"/>
      </rPr>
      <t>PREFA bakgoothoek binnen 90°</t>
    </r>
  </si>
  <si>
    <r>
      <rPr>
        <sz val="11"/>
        <color theme="1"/>
        <rFont val="Calibri"/>
        <family val="2"/>
      </rPr>
      <t>PREFA hechtingomlijsting voor felsdaken ⌀ 120 – 170 mm</t>
    </r>
  </si>
  <si>
    <r>
      <rPr>
        <sz val="11"/>
        <color theme="1"/>
        <rFont val="Calibri"/>
        <family val="2"/>
      </rPr>
      <t>PREFA hechtingomlijsting voor felsdaken ⌀ 170 – 210 mm</t>
    </r>
  </si>
  <si>
    <r>
      <rPr>
        <sz val="11"/>
        <color theme="1"/>
        <rFont val="Calibri"/>
        <family val="2"/>
      </rPr>
      <t>PREFA hechtingomlijsting voor felsdaken ⌀ 50 – 65 mm</t>
    </r>
  </si>
  <si>
    <r>
      <rPr>
        <sz val="11"/>
        <color theme="1"/>
        <rFont val="Calibri"/>
        <family val="2"/>
      </rPr>
      <t>PREFA hechtingomlijsting voor felsdaken ⌀ 80 – 125 mm</t>
    </r>
  </si>
  <si>
    <r>
      <rPr>
        <sz val="11"/>
        <color theme="1"/>
        <rFont val="Calibri"/>
        <family val="2"/>
      </rPr>
      <t>PREFA kogeleindebodem</t>
    </r>
  </si>
  <si>
    <r>
      <rPr>
        <sz val="11"/>
        <color theme="1"/>
        <rFont val="Calibri"/>
        <family val="2"/>
      </rPr>
      <t>PREFA bladvanger (alleen in bruin)</t>
    </r>
  </si>
  <si>
    <r>
      <rPr>
        <sz val="11"/>
        <color theme="1"/>
        <rFont val="Calibri"/>
        <family val="2"/>
      </rPr>
      <t>PREFA loopbrugsteun voor loopbruggen</t>
    </r>
  </si>
  <si>
    <r>
      <rPr>
        <sz val="11"/>
        <color theme="1"/>
        <rFont val="Calibri"/>
        <family val="2"/>
      </rPr>
      <t>PREFA M10 schroefdraaddoorn</t>
    </r>
  </si>
  <si>
    <r>
      <rPr>
        <sz val="11"/>
        <color theme="1"/>
        <rFont val="Calibri"/>
        <family val="2"/>
      </rPr>
      <t>PREFA NIRO V-klem</t>
    </r>
  </si>
  <si>
    <r>
      <rPr>
        <sz val="11"/>
        <color theme="1"/>
        <rFont val="Calibri"/>
        <family val="2"/>
      </rPr>
      <t>PREFA NIRO V-schuifklem</t>
    </r>
  </si>
  <si>
    <r>
      <rPr>
        <sz val="11"/>
        <color theme="1"/>
        <rFont val="Calibri"/>
        <family val="2"/>
      </rPr>
      <t>PREFA Niro hoeklangsschuifhechting, schaarlengte 12 tot 15 m</t>
    </r>
  </si>
  <si>
    <r>
      <rPr>
        <sz val="11"/>
        <color theme="1"/>
        <rFont val="Calibri"/>
        <family val="2"/>
      </rPr>
      <t>PREFA Niro hoekschuifhechting, schaarlengte tot 12 m</t>
    </r>
  </si>
  <si>
    <r>
      <rPr>
        <sz val="11"/>
        <color theme="1"/>
        <rFont val="Calibri"/>
        <family val="2"/>
      </rPr>
      <t>PREFA NIRO staande felshoekhechting</t>
    </r>
  </si>
  <si>
    <r>
      <rPr>
        <sz val="11"/>
        <color theme="1"/>
        <rFont val="Calibri"/>
        <family val="2"/>
      </rPr>
      <t>PREFA passchindel voor aansluitingen (840 × 240 mm)</t>
    </r>
  </si>
  <si>
    <r>
      <rPr>
        <sz val="11"/>
        <color theme="1"/>
        <rFont val="Calibri"/>
        <family val="2"/>
      </rPr>
      <t>PREFA gepatenteerde klinknagels</t>
    </r>
  </si>
  <si>
    <r>
      <rPr>
        <sz val="11"/>
        <color theme="1"/>
        <rFont val="Calibri"/>
        <family val="2"/>
      </rPr>
      <t>PREFA vierkante buis</t>
    </r>
  </si>
  <si>
    <r>
      <rPr>
        <sz val="11"/>
        <color theme="1"/>
        <rFont val="Calibri"/>
        <family val="2"/>
      </rPr>
      <t>PREFA vierkante buis-vangbak voor bakgoot</t>
    </r>
  </si>
  <si>
    <r>
      <rPr>
        <sz val="11"/>
        <color theme="1"/>
        <rFont val="Calibri"/>
        <family val="2"/>
      </rPr>
      <t>PREFA vierkante buis met reinigingsopening</t>
    </r>
  </si>
  <si>
    <r>
      <rPr>
        <sz val="11"/>
        <color theme="1"/>
        <rFont val="Calibri"/>
        <family val="2"/>
      </rPr>
      <t>PREFA vierkante buis-mof</t>
    </r>
  </si>
  <si>
    <r>
      <rPr>
        <sz val="11"/>
        <color theme="1"/>
        <rFont val="Calibri"/>
        <family val="2"/>
      </rPr>
      <t>PREFA vierkante buis-spuwinmonding</t>
    </r>
  </si>
  <si>
    <r>
      <rPr>
        <sz val="11"/>
        <color theme="1"/>
        <rFont val="Calibri"/>
        <family val="2"/>
      </rPr>
      <t>PREFA vierkante buis-watervangbak 220/220/330</t>
    </r>
  </si>
  <si>
    <r>
      <rPr>
        <sz val="11"/>
        <color theme="1"/>
        <rFont val="Calibri"/>
        <family val="2"/>
      </rPr>
      <t>PREFA vierkante buisbocht 72° kort</t>
    </r>
  </si>
  <si>
    <r>
      <rPr>
        <sz val="11"/>
        <color theme="1"/>
        <rFont val="Calibri"/>
        <family val="2"/>
      </rPr>
      <t>PREFA vierkante buisbocht 72° lang</t>
    </r>
  </si>
  <si>
    <r>
      <rPr>
        <sz val="11"/>
        <color theme="1"/>
        <rFont val="Calibri"/>
        <family val="2"/>
      </rPr>
      <t>PREFA regenklep</t>
    </r>
  </si>
  <si>
    <r>
      <rPr>
        <sz val="11"/>
        <color theme="1"/>
        <rFont val="Calibri"/>
        <family val="2"/>
      </rPr>
      <t>PREFA gooteindebodem</t>
    </r>
  </si>
  <si>
    <r>
      <rPr>
        <sz val="11"/>
        <color theme="1"/>
        <rFont val="Calibri"/>
        <family val="2"/>
      </rPr>
      <t>PREFA goothaak</t>
    </r>
  </si>
  <si>
    <r>
      <rPr>
        <sz val="11"/>
        <color theme="1"/>
        <rFont val="Calibri"/>
        <family val="2"/>
      </rPr>
      <t>PREFA goothaak voor bakgoot</t>
    </r>
  </si>
  <si>
    <r>
      <rPr>
        <sz val="11"/>
        <color theme="1"/>
        <rFont val="Calibri"/>
        <family val="2"/>
      </rPr>
      <t>PREFA goothaak op de korte kant</t>
    </r>
  </si>
  <si>
    <r>
      <rPr>
        <sz val="11"/>
        <color theme="1"/>
        <rFont val="Calibri"/>
        <family val="2"/>
      </rPr>
      <t>PREFA goothaak Zwitserland</t>
    </r>
  </si>
  <si>
    <r>
      <rPr>
        <sz val="11"/>
        <color theme="1"/>
        <rFont val="Calibri"/>
        <family val="2"/>
      </rPr>
      <t>PREFA goothaakspijker 5,0 × 80</t>
    </r>
  </si>
  <si>
    <r>
      <rPr>
        <sz val="11"/>
        <color theme="1"/>
        <rFont val="Calibri"/>
        <family val="2"/>
      </rPr>
      <t>PREFA vergaarbak</t>
    </r>
  </si>
  <si>
    <r>
      <rPr>
        <sz val="11"/>
        <color theme="1"/>
        <rFont val="Calibri"/>
        <family val="2"/>
      </rPr>
      <t>PREFA goothoek buiten 90°</t>
    </r>
  </si>
  <si>
    <r>
      <rPr>
        <sz val="11"/>
        <color theme="1"/>
        <rFont val="Calibri"/>
        <family val="2"/>
      </rPr>
      <t>PREFA goothoek binnen 90°</t>
    </r>
  </si>
  <si>
    <r>
      <rPr>
        <sz val="11"/>
        <color theme="1"/>
        <rFont val="Calibri"/>
        <family val="2"/>
      </rPr>
      <t>PREFA buis 28 × 2 × 3000 mm, incl. mof</t>
    </r>
  </si>
  <si>
    <r>
      <rPr>
        <sz val="11"/>
        <color theme="1"/>
        <rFont val="Calibri"/>
        <family val="2"/>
      </rPr>
      <t>PREFA kniestuk 40°</t>
    </r>
  </si>
  <si>
    <r>
      <rPr>
        <sz val="11"/>
        <color theme="1"/>
        <rFont val="Calibri"/>
        <family val="2"/>
      </rPr>
      <t>PREFA kniestuk 72°</t>
    </r>
  </si>
  <si>
    <r>
      <rPr>
        <sz val="11"/>
        <color theme="1"/>
        <rFont val="Calibri"/>
        <family val="2"/>
      </rPr>
      <t>PREFA kniestuk 85°</t>
    </r>
  </si>
  <si>
    <r>
      <rPr>
        <sz val="11"/>
        <color theme="1"/>
        <rFont val="Calibri"/>
        <family val="2"/>
      </rPr>
      <t>PREFA buisinmonding</t>
    </r>
  </si>
  <si>
    <r>
      <rPr>
        <sz val="11"/>
        <color theme="1"/>
        <rFont val="Calibri"/>
        <family val="2"/>
      </rPr>
      <t>PREFA buisinmonding conisch</t>
    </r>
  </si>
  <si>
    <r>
      <rPr>
        <sz val="11"/>
        <color theme="1"/>
        <rFont val="Calibri"/>
        <family val="2"/>
      </rPr>
      <t>PREFA klembeugel voor staande buizen</t>
    </r>
  </si>
  <si>
    <r>
      <rPr>
        <sz val="11"/>
        <color theme="1"/>
        <rFont val="Calibri"/>
        <family val="2"/>
      </rPr>
      <t>PREFA klembeugel met M10-schroefdraad zonder doorn</t>
    </r>
  </si>
  <si>
    <r>
      <rPr>
        <sz val="11"/>
        <color theme="1"/>
        <rFont val="Calibri"/>
        <family val="2"/>
      </rPr>
      <t>PREFA klembeugeldoorn</t>
    </r>
  </si>
  <si>
    <r>
      <rPr>
        <sz val="11"/>
        <color theme="1"/>
        <rFont val="Calibri"/>
        <family val="2"/>
      </rPr>
      <t>PREFA klembeugelplug met doorn (voor WDVS)</t>
    </r>
  </si>
  <si>
    <r>
      <rPr>
        <sz val="11"/>
        <color theme="1"/>
        <rFont val="Calibri"/>
        <family val="2"/>
      </rPr>
      <t>PREFA klembeugelhouder (voor WDVS)</t>
    </r>
  </si>
  <si>
    <r>
      <rPr>
        <sz val="11"/>
        <color theme="1"/>
        <rFont val="Calibri"/>
        <family val="2"/>
      </rPr>
      <t>PREFA buisverbinding</t>
    </r>
  </si>
  <si>
    <r>
      <rPr>
        <sz val="11"/>
        <color theme="1"/>
        <rFont val="Calibri"/>
        <family val="2"/>
      </rPr>
      <t>PREFA Sailerklem dubbel</t>
    </r>
  </si>
  <si>
    <r>
      <rPr>
        <sz val="11"/>
        <color theme="1"/>
        <rFont val="Calibri"/>
        <family val="2"/>
      </rPr>
      <t>PREFA Sailerklem enkel</t>
    </r>
  </si>
  <si>
    <r>
      <rPr>
        <sz val="11"/>
        <color theme="1"/>
        <rFont val="Calibri"/>
        <family val="2"/>
      </rPr>
      <t>PREFA Sailerklem voor schuine felsen</t>
    </r>
  </si>
  <si>
    <r>
      <rPr>
        <sz val="11"/>
        <color theme="1"/>
        <rFont val="Calibri"/>
        <family val="2"/>
      </rPr>
      <t>PREFA randgoot met beschermfolie buiten</t>
    </r>
  </si>
  <si>
    <r>
      <rPr>
        <sz val="11"/>
        <color theme="1"/>
        <rFont val="Calibri"/>
        <family val="2"/>
      </rPr>
      <t>PREFA randgoot-eindbodem</t>
    </r>
  </si>
  <si>
    <r>
      <rPr>
        <sz val="11"/>
        <color theme="1"/>
        <rFont val="Calibri"/>
        <family val="2"/>
      </rPr>
      <t>PREFA randgoothaak</t>
    </r>
  </si>
  <si>
    <r>
      <rPr>
        <sz val="11"/>
        <color theme="1"/>
        <rFont val="Calibri"/>
        <family val="2"/>
      </rPr>
      <t>PREFA randstroken (1800 × 158 × 1,00 mm)</t>
    </r>
  </si>
  <si>
    <r>
      <rPr>
        <sz val="11"/>
        <color theme="1"/>
        <rFont val="Arial"/>
        <family val="2"/>
      </rPr>
      <t>PREFA sneeuwstopper voor dakplaat R.16 en FX.12</t>
    </r>
  </si>
  <si>
    <r>
      <rPr>
        <sz val="11"/>
        <color theme="1"/>
        <rFont val="Arial"/>
        <family val="2"/>
      </rPr>
      <t>PREFA sneeuwstopper voor daklosange 29 × 29</t>
    </r>
  </si>
  <si>
    <r>
      <rPr>
        <sz val="11"/>
        <color theme="1"/>
        <rFont val="Arial"/>
        <family val="2"/>
      </rPr>
      <t>PREFA sneeuwstopper voor daklosange 44 × 44</t>
    </r>
  </si>
  <si>
    <r>
      <rPr>
        <sz val="11"/>
        <color theme="1"/>
        <rFont val="Arial"/>
        <family val="2"/>
      </rPr>
      <t>PREFA sneeuwstopper voor dakschindel</t>
    </r>
  </si>
  <si>
    <r>
      <rPr>
        <sz val="11"/>
        <color theme="1"/>
        <rFont val="Calibri"/>
        <family val="2"/>
      </rPr>
      <t>PREFA schuine steunen</t>
    </r>
  </si>
  <si>
    <r>
      <rPr>
        <sz val="11"/>
        <color theme="1"/>
        <rFont val="Calibri"/>
        <family val="2"/>
      </rPr>
      <t>PREFA sokkelknie 60 mm reikwijdte</t>
    </r>
  </si>
  <si>
    <r>
      <rPr>
        <sz val="11"/>
        <color theme="1"/>
        <rFont val="Calibri"/>
        <family val="2"/>
      </rPr>
      <t>PREFA spuwinmonding</t>
    </r>
  </si>
  <si>
    <r>
      <rPr>
        <sz val="11"/>
        <color theme="1"/>
        <rFont val="Calibri"/>
        <family val="2"/>
      </rPr>
      <t>PREFA staande buis met reinigingsopening</t>
    </r>
  </si>
  <si>
    <r>
      <rPr>
        <sz val="11"/>
        <color theme="1"/>
        <rFont val="Calibri"/>
        <family val="2"/>
      </rPr>
      <t>PREFA staande buiskap</t>
    </r>
  </si>
  <si>
    <r>
      <rPr>
        <sz val="11"/>
        <color theme="1"/>
        <rFont val="Calibri"/>
        <family val="2"/>
      </rPr>
      <t>PREFA beginplaat (1,48 stks./m</t>
    </r>
    <r>
      <rPr>
        <vertAlign val="superscript"/>
        <sz val="11"/>
        <color theme="1"/>
        <rFont val="Calibri"/>
      </rPr>
      <t>1</t>
    </r>
    <r>
      <rPr>
        <sz val="11"/>
        <color theme="1"/>
        <rFont val="Calibri"/>
        <family val="2"/>
      </rPr>
      <t>, 40 stks./doos)</t>
    </r>
  </si>
  <si>
    <r>
      <rPr>
        <sz val="11"/>
        <color theme="1"/>
        <rFont val="Calibri"/>
        <family val="2"/>
      </rPr>
      <t>PREFA beginplaat (2,2 stks./m</t>
    </r>
    <r>
      <rPr>
        <vertAlign val="superscript"/>
        <sz val="11"/>
        <color theme="1"/>
        <rFont val="Calibri"/>
      </rPr>
      <t>1</t>
    </r>
    <r>
      <rPr>
        <sz val="11"/>
        <color theme="1"/>
        <rFont val="Calibri"/>
        <family val="2"/>
      </rPr>
      <t>, 100 stks./doos)</t>
    </r>
  </si>
  <si>
    <r>
      <rPr>
        <sz val="11"/>
        <color theme="1"/>
        <rFont val="Calibri"/>
        <family val="2"/>
      </rPr>
      <t>PREFA kopplaathaak voor dakgoten</t>
    </r>
  </si>
  <si>
    <r>
      <rPr>
        <sz val="11"/>
        <color theme="1"/>
        <rFont val="Calibri"/>
        <family val="2"/>
      </rPr>
      <t>PREFA kopplaathaak voor bakgoten</t>
    </r>
  </si>
  <si>
    <r>
      <rPr>
        <sz val="11"/>
        <color theme="1"/>
        <rFont val="Calibri"/>
        <family val="2"/>
      </rPr>
      <t>PREFA randgootsteunen</t>
    </r>
  </si>
  <si>
    <r>
      <rPr>
        <sz val="11"/>
        <color theme="1"/>
        <rFont val="Calibri"/>
        <family val="2"/>
      </rPr>
      <t>PREFA telescopisch kniestuk, in lengte verstelbaar van 700 tot 1000 mm, DN 100</t>
    </r>
  </si>
  <si>
    <r>
      <rPr>
        <sz val="11"/>
        <color theme="1"/>
        <rFont val="Calibri"/>
        <family val="2"/>
      </rPr>
      <t>PREFA vogelbeschermingsrooster 125 × 2000 × 0,7 mm</t>
    </r>
  </si>
  <si>
    <r>
      <rPr>
        <sz val="11"/>
        <color theme="1"/>
        <rFont val="Calibri"/>
        <family val="2"/>
      </rPr>
      <t>PREFA watervangbak 220/220/330</t>
    </r>
  </si>
  <si>
    <r>
      <rPr>
        <sz val="11"/>
        <color theme="1"/>
        <rFont val="Calibri"/>
        <family val="2"/>
      </rPr>
      <t>PREFA waterverzamelaar</t>
    </r>
  </si>
  <si>
    <r>
      <rPr>
        <sz val="11"/>
        <color theme="1"/>
        <rFont val="Calibri"/>
        <family val="2"/>
      </rPr>
      <t>Prefalz gekleurde aluminium band 0,7 × 1000 mm</t>
    </r>
  </si>
  <si>
    <r>
      <rPr>
        <sz val="11"/>
        <color theme="1"/>
        <rFont val="Calibri"/>
        <family val="2"/>
      </rPr>
      <t>Prefalz gekleurde aluminium band 0,7 × 1000 mm (voor aanvullend plaatwerk)</t>
    </r>
  </si>
  <si>
    <r>
      <rPr>
        <sz val="11"/>
        <color theme="1"/>
        <rFont val="Calibri"/>
        <family val="2"/>
      </rPr>
      <t>Prefalz gekleurde aluminium band 0,7 × 500 mm</t>
    </r>
  </si>
  <si>
    <r>
      <rPr>
        <sz val="11"/>
        <color theme="1"/>
        <rFont val="Calibri"/>
        <family val="2"/>
      </rPr>
      <t>Prefalz gekleurde aluminium band 0,7 × 650 mm</t>
    </r>
  </si>
  <si>
    <r>
      <rPr>
        <sz val="11"/>
        <color theme="1"/>
        <rFont val="Calibri"/>
        <family val="2"/>
      </rPr>
      <t>10 prefawit</t>
    </r>
  </si>
  <si>
    <r>
      <rPr>
        <sz val="11"/>
        <color theme="1"/>
        <rFont val="Calibri"/>
        <family val="2"/>
      </rPr>
      <t>10 P.10 prefawit</t>
    </r>
  </si>
  <si>
    <r>
      <rPr>
        <sz val="11"/>
        <color theme="1"/>
        <rFont val="Calibri"/>
        <family val="2"/>
      </rPr>
      <t>VIERKANTE BUIS</t>
    </r>
  </si>
  <si>
    <r>
      <rPr>
        <sz val="11"/>
        <color theme="1"/>
        <rFont val="Calibri"/>
        <family val="2"/>
      </rPr>
      <t>Gootdimensie:</t>
    </r>
  </si>
  <si>
    <r>
      <rPr>
        <sz val="11"/>
        <color theme="1"/>
        <rFont val="Calibri"/>
        <family val="2"/>
      </rPr>
      <t>Gootlengte kiezen:</t>
    </r>
  </si>
  <si>
    <r>
      <rPr>
        <sz val="11"/>
        <color theme="1"/>
        <rFont val="Calibri"/>
        <family val="2"/>
      </rPr>
      <t>Buislengte kiezen:</t>
    </r>
  </si>
  <si>
    <r>
      <rPr>
        <sz val="11"/>
        <color theme="1"/>
        <rFont val="Calibri"/>
        <family val="2"/>
      </rPr>
      <t>03 zwart</t>
    </r>
  </si>
  <si>
    <r>
      <rPr>
        <sz val="11"/>
        <color theme="1"/>
        <rFont val="Calibri"/>
        <family val="2"/>
      </rPr>
      <t>PREFA wandmontageplaat</t>
    </r>
  </si>
  <si>
    <r>
      <rPr>
        <sz val="11"/>
        <color theme="1"/>
        <rFont val="Calibri"/>
        <family val="2"/>
      </rPr>
      <t>04 dakpannenrood</t>
    </r>
  </si>
  <si>
    <r>
      <rPr>
        <sz val="11"/>
        <color theme="1"/>
        <rFont val="Calibri"/>
        <family val="2"/>
      </rPr>
      <t>08 loodgrijs</t>
    </r>
  </si>
  <si>
    <r>
      <rPr>
        <sz val="11"/>
        <color theme="1"/>
        <rFont val="Calibri"/>
        <family val="2"/>
      </rPr>
      <t>08 P.10 loodgrijs</t>
    </r>
  </si>
  <si>
    <r>
      <rPr>
        <sz val="11"/>
        <color theme="1"/>
        <rFont val="Calibri"/>
        <family val="2"/>
      </rPr>
      <t>PREFA daklosangehechting 29 × 29</t>
    </r>
  </si>
  <si>
    <r>
      <rPr>
        <sz val="11"/>
        <color theme="1"/>
        <rFont val="Calibri"/>
        <family val="2"/>
      </rPr>
      <t>PREFA groefspijker NIRO</t>
    </r>
  </si>
  <si>
    <r>
      <rPr>
        <sz val="11"/>
        <color theme="1"/>
        <rFont val="Calibri"/>
        <family val="2"/>
      </rPr>
      <t>PREFA eindbodem bakgoot 500 links</t>
    </r>
  </si>
  <si>
    <r>
      <rPr>
        <sz val="11"/>
        <color theme="1"/>
        <rFont val="Calibri"/>
        <family val="2"/>
      </rPr>
      <t>PREFA eindbodem bakgoot 500 rechts</t>
    </r>
  </si>
  <si>
    <r>
      <rPr>
        <sz val="11"/>
        <color theme="1"/>
        <rFont val="Calibri"/>
        <family val="2"/>
      </rPr>
      <t>46 patinagroen</t>
    </r>
  </si>
  <si>
    <r>
      <rPr>
        <sz val="11"/>
        <color theme="1"/>
        <rFont val="Calibri"/>
        <family val="2"/>
      </rPr>
      <t>23 zwartgrijs</t>
    </r>
  </si>
  <si>
    <r>
      <rPr>
        <sz val="11"/>
        <color theme="1"/>
        <rFont val="Calibri"/>
        <family val="2"/>
      </rPr>
      <t>47 patinagrijs</t>
    </r>
  </si>
  <si>
    <t>norsk</t>
  </si>
  <si>
    <t>Material quotaion / inquiry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</si>
</sst>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00000000"/>
    <numFmt numFmtId="165" formatCode="000000"/>
  </numFmts>
  <fonts count="28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22"/>
      <color rgb="FFFF0000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0"/>
      <name val="Arial"/>
      <family val="2"/>
    </font>
    <font>
      <sz val="10"/>
      <name val="Slimbach LT"/>
    </font>
    <font>
      <sz val="10"/>
      <color theme="0"/>
      <name val="Arial"/>
      <family val="2"/>
    </font>
    <font>
      <b/>
      <u/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sz val="11"/>
      <name val="Slimbach LT"/>
    </font>
    <font>
      <sz val="11"/>
      <name val="Calibri"/>
      <family val="2"/>
      <scheme val="minor"/>
    </font>
    <font>
      <sz val="9"/>
      <name val="Slimbach LT"/>
    </font>
    <font>
      <sz val="9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 Narrow"/>
      <family val="2"/>
    </font>
    <font>
      <sz val="13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sz val="13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</borders>
  <cellStyleXfs count="1">
    <xf numFmtId="0" fontId="0" fillId="0" borderId="0"/>
  </cellStyleXfs>
  <cellXfs count="33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2" xfId="0" applyFont="1" applyFill="1" applyBorder="1" applyAlignment="1" applyProtection="1">
      <alignment vertical="center"/>
    </xf>
    <xf numFmtId="0" fontId="7" fillId="0" borderId="22" xfId="0" applyFont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Protection="1"/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14" fontId="3" fillId="0" borderId="4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7" fillId="0" borderId="0" xfId="0" applyFont="1" applyFill="1" applyProtection="1"/>
    <xf numFmtId="0" fontId="1" fillId="0" borderId="0" xfId="0" applyFont="1" applyFill="1" applyAlignment="1">
      <alignment vertical="center"/>
    </xf>
    <xf numFmtId="0" fontId="5" fillId="0" borderId="13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32" xfId="0" applyFont="1" applyFill="1" applyBorder="1" applyAlignment="1" applyProtection="1">
      <alignment horizontal="center" vertical="center"/>
      <protection locked="0"/>
    </xf>
    <xf numFmtId="0" fontId="5" fillId="0" borderId="33" xfId="0" applyFont="1" applyFill="1" applyBorder="1" applyAlignment="1" applyProtection="1">
      <alignment horizontal="center" vertical="center"/>
      <protection locked="0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/>
    <xf numFmtId="0" fontId="0" fillId="4" borderId="0" xfId="0" applyFill="1"/>
    <xf numFmtId="0" fontId="0" fillId="0" borderId="0" xfId="0" applyFill="1"/>
    <xf numFmtId="0" fontId="14" fillId="4" borderId="0" xfId="0" applyFont="1" applyFill="1"/>
    <xf numFmtId="0" fontId="7" fillId="4" borderId="0" xfId="0" applyFont="1" applyFill="1" applyProtection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left" vertical="center"/>
    </xf>
    <xf numFmtId="0" fontId="0" fillId="0" borderId="30" xfId="0" applyBorder="1"/>
    <xf numFmtId="0" fontId="0" fillId="0" borderId="31" xfId="0" applyBorder="1"/>
    <xf numFmtId="0" fontId="0" fillId="0" borderId="37" xfId="0" applyBorder="1"/>
    <xf numFmtId="0" fontId="0" fillId="0" borderId="38" xfId="0" applyBorder="1"/>
    <xf numFmtId="0" fontId="0" fillId="0" borderId="0" xfId="0" applyBorder="1"/>
    <xf numFmtId="0" fontId="0" fillId="0" borderId="39" xfId="0" applyBorder="1"/>
    <xf numFmtId="0" fontId="0" fillId="0" borderId="40" xfId="0" applyBorder="1"/>
    <xf numFmtId="0" fontId="0" fillId="0" borderId="22" xfId="0" applyBorder="1"/>
    <xf numFmtId="0" fontId="0" fillId="0" borderId="41" xfId="0" applyBorder="1"/>
    <xf numFmtId="0" fontId="0" fillId="4" borderId="0" xfId="0" applyFill="1" applyBorder="1"/>
    <xf numFmtId="0" fontId="0" fillId="0" borderId="0" xfId="0" applyBorder="1" applyAlignment="1"/>
    <xf numFmtId="0" fontId="0" fillId="0" borderId="30" xfId="0" applyBorder="1" applyAlignment="1"/>
    <xf numFmtId="0" fontId="0" fillId="0" borderId="31" xfId="0" applyBorder="1" applyAlignment="1"/>
    <xf numFmtId="0" fontId="0" fillId="0" borderId="37" xfId="0" applyBorder="1" applyAlignment="1"/>
    <xf numFmtId="0" fontId="5" fillId="0" borderId="15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5" fillId="0" borderId="43" xfId="0" applyFont="1" applyFill="1" applyBorder="1" applyAlignment="1" applyProtection="1">
      <alignment horizontal="center" vertical="center"/>
      <protection locked="0"/>
    </xf>
    <xf numFmtId="2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0" fillId="0" borderId="0" xfId="0" applyFont="1" applyAlignment="1"/>
    <xf numFmtId="0" fontId="1" fillId="0" borderId="0" xfId="0" applyFont="1" applyFill="1" applyAlignment="1">
      <alignment horizontal="left" vertical="center"/>
    </xf>
    <xf numFmtId="0" fontId="1" fillId="0" borderId="55" xfId="0" applyFont="1" applyBorder="1" applyAlignment="1">
      <alignment vertical="center"/>
    </xf>
    <xf numFmtId="0" fontId="1" fillId="0" borderId="56" xfId="0" applyFont="1" applyBorder="1" applyAlignment="1">
      <alignment vertical="center"/>
    </xf>
    <xf numFmtId="0" fontId="0" fillId="0" borderId="57" xfId="0" applyBorder="1"/>
    <xf numFmtId="0" fontId="0" fillId="0" borderId="55" xfId="0" applyBorder="1"/>
    <xf numFmtId="0" fontId="0" fillId="0" borderId="56" xfId="0" applyBorder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3" fillId="0" borderId="3" xfId="0" applyFont="1" applyBorder="1" applyAlignment="1">
      <alignment vertical="center"/>
    </xf>
    <xf numFmtId="165" fontId="0" fillId="0" borderId="1" xfId="0" applyNumberFormat="1" applyBorder="1"/>
    <xf numFmtId="0" fontId="1" fillId="0" borderId="2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0" fillId="0" borderId="1" xfId="0" applyBorder="1" applyAlignment="1">
      <alignment vertical="center"/>
    </xf>
    <xf numFmtId="165" fontId="0" fillId="0" borderId="28" xfId="0" applyNumberFormat="1" applyBorder="1"/>
    <xf numFmtId="165" fontId="0" fillId="0" borderId="41" xfId="0" applyNumberFormat="1" applyBorder="1"/>
    <xf numFmtId="0" fontId="1" fillId="5" borderId="33" xfId="0" applyFont="1" applyFill="1" applyBorder="1" applyAlignment="1">
      <alignment vertical="center"/>
    </xf>
    <xf numFmtId="0" fontId="1" fillId="0" borderId="22" xfId="0" applyFont="1" applyBorder="1" applyAlignment="1">
      <alignment vertical="center"/>
    </xf>
    <xf numFmtId="0" fontId="3" fillId="0" borderId="5" xfId="0" applyFont="1" applyFill="1" applyBorder="1" applyAlignment="1" applyProtection="1">
      <alignment vertical="center"/>
      <protection locked="0"/>
    </xf>
    <xf numFmtId="0" fontId="3" fillId="0" borderId="6" xfId="0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7" borderId="8" xfId="0" applyFont="1" applyFill="1" applyBorder="1" applyAlignment="1">
      <alignment horizontal="center" vertical="center"/>
    </xf>
    <xf numFmtId="0" fontId="1" fillId="7" borderId="9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49" fontId="0" fillId="0" borderId="0" xfId="0" applyNumberFormat="1"/>
    <xf numFmtId="0" fontId="1" fillId="4" borderId="1" xfId="0" applyFont="1" applyFill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49" fontId="0" fillId="0" borderId="0" xfId="0" applyNumberFormat="1" applyFill="1"/>
    <xf numFmtId="0" fontId="0" fillId="6" borderId="1" xfId="0" applyFill="1" applyBorder="1"/>
    <xf numFmtId="49" fontId="0" fillId="0" borderId="1" xfId="0" applyNumberFormat="1" applyBorder="1"/>
    <xf numFmtId="0" fontId="0" fillId="6" borderId="2" xfId="0" applyFill="1" applyBorder="1"/>
    <xf numFmtId="0" fontId="0" fillId="6" borderId="4" xfId="0" applyFill="1" applyBorder="1"/>
    <xf numFmtId="0" fontId="1" fillId="8" borderId="1" xfId="0" applyFont="1" applyFill="1" applyBorder="1" applyAlignment="1">
      <alignment vertical="center"/>
    </xf>
    <xf numFmtId="0" fontId="0" fillId="8" borderId="1" xfId="0" applyFill="1" applyBorder="1"/>
    <xf numFmtId="0" fontId="1" fillId="4" borderId="1" xfId="0" applyFont="1" applyFill="1" applyBorder="1" applyAlignment="1"/>
    <xf numFmtId="49" fontId="0" fillId="0" borderId="1" xfId="0" applyNumberFormat="1" applyBorder="1" applyAlignment="1"/>
    <xf numFmtId="0" fontId="1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 applyProtection="1">
      <alignment vertical="center"/>
      <protection locked="0"/>
    </xf>
    <xf numFmtId="0" fontId="8" fillId="0" borderId="0" xfId="0" applyFont="1" applyFill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49" fontId="1" fillId="4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49" fontId="0" fillId="7" borderId="1" xfId="0" applyNumberFormat="1" applyFill="1" applyBorder="1"/>
    <xf numFmtId="0" fontId="1" fillId="0" borderId="0" xfId="0" applyFont="1"/>
    <xf numFmtId="0" fontId="19" fillId="0" borderId="0" xfId="0" applyFont="1"/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0" xfId="0" applyFont="1"/>
    <xf numFmtId="0" fontId="22" fillId="0" borderId="0" xfId="0" applyFont="1" applyBorder="1" applyAlignment="1" applyProtection="1">
      <alignment vertical="center"/>
      <protection locked="0"/>
    </xf>
    <xf numFmtId="0" fontId="20" fillId="0" borderId="0" xfId="0" applyFont="1" applyAlignment="1">
      <alignment horizontal="right" vertical="center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/>
    </xf>
    <xf numFmtId="0" fontId="20" fillId="0" borderId="45" xfId="0" applyFont="1" applyBorder="1" applyAlignment="1">
      <alignment horizontal="center" vertical="center" wrapText="1"/>
    </xf>
    <xf numFmtId="0" fontId="20" fillId="0" borderId="46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47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2" xfId="0" applyFont="1" applyBorder="1" applyAlignment="1">
      <alignment horizontal="right" vertical="center" wrapText="1"/>
    </xf>
    <xf numFmtId="0" fontId="20" fillId="0" borderId="47" xfId="0" applyFont="1" applyBorder="1" applyAlignment="1">
      <alignment horizontal="center" vertical="center"/>
    </xf>
    <xf numFmtId="0" fontId="20" fillId="0" borderId="48" xfId="0" applyFont="1" applyBorder="1" applyAlignment="1" applyProtection="1">
      <alignment horizontal="center" vertical="center"/>
      <protection locked="0"/>
    </xf>
    <xf numFmtId="0" fontId="20" fillId="0" borderId="49" xfId="0" applyFont="1" applyBorder="1" applyAlignment="1">
      <alignment horizontal="right" vertical="center" wrapText="1"/>
    </xf>
    <xf numFmtId="0" fontId="20" fillId="0" borderId="49" xfId="0" applyFont="1" applyFill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22" fillId="0" borderId="0" xfId="0" applyFont="1" applyFill="1" applyAlignment="1" applyProtection="1">
      <alignment horizontal="right" vertical="center"/>
    </xf>
    <xf numFmtId="0" fontId="20" fillId="0" borderId="2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3" xfId="0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Border="1" applyAlignment="1" applyProtection="1">
      <alignment horizontal="left" vertical="center"/>
      <protection locked="0"/>
    </xf>
    <xf numFmtId="0" fontId="20" fillId="0" borderId="43" xfId="0" applyFont="1" applyFill="1" applyBorder="1" applyAlignment="1" applyProtection="1">
      <alignment horizontal="center" vertical="center"/>
      <protection locked="0"/>
    </xf>
    <xf numFmtId="0" fontId="20" fillId="0" borderId="34" xfId="0" applyFont="1" applyFill="1" applyBorder="1" applyAlignment="1">
      <alignment horizontal="center" vertical="center"/>
    </xf>
    <xf numFmtId="0" fontId="20" fillId="0" borderId="32" xfId="0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23" fillId="0" borderId="0" xfId="0" applyFont="1" applyAlignment="1">
      <alignment vertical="center"/>
    </xf>
    <xf numFmtId="2" fontId="20" fillId="0" borderId="0" xfId="0" applyNumberFormat="1" applyFont="1" applyAlignment="1">
      <alignment horizontal="center" vertical="center" wrapText="1"/>
    </xf>
    <xf numFmtId="0" fontId="20" fillId="0" borderId="1" xfId="0" applyFont="1" applyBorder="1" applyAlignment="1">
      <alignment vertical="center"/>
    </xf>
    <xf numFmtId="0" fontId="20" fillId="0" borderId="50" xfId="0" applyFont="1" applyFill="1" applyBorder="1" applyAlignment="1" applyProtection="1">
      <alignment horizontal="center" vertical="center"/>
      <protection locked="0"/>
    </xf>
    <xf numFmtId="0" fontId="20" fillId="0" borderId="45" xfId="0" applyFont="1" applyBorder="1" applyAlignment="1">
      <alignment horizontal="center" vertical="center"/>
    </xf>
    <xf numFmtId="0" fontId="20" fillId="0" borderId="51" xfId="0" applyFont="1" applyFill="1" applyBorder="1" applyAlignment="1">
      <alignment horizontal="center" vertical="center"/>
    </xf>
    <xf numFmtId="0" fontId="20" fillId="0" borderId="53" xfId="0" applyFont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13" xfId="0" applyFont="1" applyFill="1" applyBorder="1" applyAlignment="1" applyProtection="1">
      <alignment horizontal="center" vertical="center"/>
      <protection locked="0"/>
    </xf>
    <xf numFmtId="0" fontId="20" fillId="0" borderId="14" xfId="0" applyFont="1" applyFill="1" applyBorder="1" applyAlignment="1" applyProtection="1">
      <alignment horizontal="center" vertical="center"/>
      <protection locked="0"/>
    </xf>
    <xf numFmtId="0" fontId="20" fillId="0" borderId="15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Border="1" applyAlignment="1" applyProtection="1">
      <alignment horizontal="left" vertical="center"/>
      <protection locked="0"/>
    </xf>
    <xf numFmtId="0" fontId="20" fillId="0" borderId="46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Fill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>
      <alignment horizontal="left" vertical="center"/>
    </xf>
    <xf numFmtId="0" fontId="20" fillId="0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right" vertical="center" wrapText="1"/>
    </xf>
    <xf numFmtId="0" fontId="20" fillId="0" borderId="35" xfId="0" applyFont="1" applyFill="1" applyBorder="1" applyAlignment="1">
      <alignment horizontal="right" vertical="center" wrapText="1"/>
    </xf>
    <xf numFmtId="0" fontId="22" fillId="0" borderId="27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29" xfId="0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42" xfId="0" applyFont="1" applyFill="1" applyBorder="1" applyAlignment="1" applyProtection="1">
      <alignment horizontal="center" vertical="center"/>
      <protection locked="0"/>
    </xf>
    <xf numFmtId="0" fontId="0" fillId="0" borderId="58" xfId="0" applyBorder="1"/>
    <xf numFmtId="0" fontId="0" fillId="0" borderId="59" xfId="0" applyBorder="1"/>
    <xf numFmtId="0" fontId="0" fillId="0" borderId="60" xfId="0" applyBorder="1"/>
    <xf numFmtId="49" fontId="0" fillId="0" borderId="1" xfId="0" applyNumberFormat="1" applyBorder="1" applyAlignment="1">
      <alignment horizontal="right"/>
    </xf>
    <xf numFmtId="49" fontId="1" fillId="0" borderId="0" xfId="0" applyNumberFormat="1" applyFont="1" applyAlignment="1">
      <alignment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0" fontId="0" fillId="0" borderId="1" xfId="0" applyFont="1" applyBorder="1" applyAlignment="1"/>
    <xf numFmtId="0" fontId="0" fillId="0" borderId="1" xfId="0" applyFont="1" applyFill="1" applyBorder="1" applyAlignment="1"/>
    <xf numFmtId="0" fontId="13" fillId="0" borderId="1" xfId="0" applyFont="1" applyFill="1" applyBorder="1" applyAlignment="1" applyProtection="1">
      <alignment vertical="center"/>
    </xf>
    <xf numFmtId="0" fontId="13" fillId="0" borderId="1" xfId="0" applyFont="1" applyBorder="1" applyAlignment="1" applyProtection="1">
      <alignment vertical="center"/>
    </xf>
    <xf numFmtId="0" fontId="1" fillId="0" borderId="1" xfId="0" applyFont="1" applyBorder="1" applyAlignment="1">
      <alignment vertical="center"/>
    </xf>
    <xf numFmtId="0" fontId="13" fillId="0" borderId="1" xfId="0" applyFont="1" applyBorder="1" applyAlignment="1" applyProtection="1"/>
    <xf numFmtId="0" fontId="0" fillId="2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7" fillId="0" borderId="1" xfId="0" applyFont="1" applyFill="1" applyBorder="1" applyAlignment="1" applyProtection="1"/>
    <xf numFmtId="0" fontId="1" fillId="0" borderId="1" xfId="0" applyFont="1" applyFill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2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13" fillId="0" borderId="0" xfId="0" applyFont="1" applyFill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4" fillId="0" borderId="0" xfId="0" applyFont="1" applyFill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/>
    </xf>
    <xf numFmtId="0" fontId="13" fillId="0" borderId="1" xfId="0" applyFont="1" applyBorder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3" fillId="2" borderId="0" xfId="0" applyFont="1" applyFill="1" applyAlignment="1" applyProtection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49" fontId="0" fillId="0" borderId="0" xfId="0" applyNumberFormat="1" applyFont="1" applyFill="1" applyAlignment="1">
      <alignment horizontal="left" vertical="center"/>
    </xf>
    <xf numFmtId="20" fontId="0" fillId="0" borderId="0" xfId="0" applyNumberFormat="1" applyFont="1" applyFill="1" applyAlignment="1">
      <alignment horizontal="left" vertical="center"/>
    </xf>
    <xf numFmtId="49" fontId="14" fillId="0" borderId="0" xfId="0" applyNumberFormat="1" applyFont="1" applyFill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7" fillId="0" borderId="0" xfId="0" applyFont="1" applyFill="1" applyAlignment="1" applyProtection="1">
      <alignment horizontal="left" vertical="center" wrapText="1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38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1" fillId="0" borderId="55" xfId="0" applyFont="1" applyBorder="1" applyAlignment="1">
      <alignment horizontal="center" vertical="top"/>
    </xf>
    <xf numFmtId="0" fontId="1" fillId="0" borderId="56" xfId="0" applyFont="1" applyBorder="1" applyAlignment="1">
      <alignment horizontal="center" vertical="top"/>
    </xf>
    <xf numFmtId="0" fontId="1" fillId="0" borderId="57" xfId="0" applyFont="1" applyBorder="1" applyAlignment="1">
      <alignment horizontal="center" vertical="top"/>
    </xf>
    <xf numFmtId="0" fontId="20" fillId="0" borderId="5" xfId="0" applyFont="1" applyFill="1" applyBorder="1" applyAlignment="1" applyProtection="1">
      <alignment horizontal="left" vertical="center"/>
      <protection locked="0"/>
    </xf>
    <xf numFmtId="0" fontId="20" fillId="0" borderId="6" xfId="0" applyFont="1" applyFill="1" applyBorder="1" applyAlignment="1" applyProtection="1">
      <alignment horizontal="left" vertical="center"/>
      <protection locked="0"/>
    </xf>
    <xf numFmtId="0" fontId="20" fillId="0" borderId="7" xfId="0" applyFont="1" applyFill="1" applyBorder="1" applyAlignment="1" applyProtection="1">
      <alignment horizontal="left" vertical="center"/>
      <protection locked="0"/>
    </xf>
    <xf numFmtId="0" fontId="20" fillId="0" borderId="3" xfId="0" applyFont="1" applyBorder="1" applyAlignment="1">
      <alignment horizontal="center" vertical="center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left" vertical="center" wrapText="1"/>
    </xf>
    <xf numFmtId="0" fontId="20" fillId="0" borderId="31" xfId="0" applyFont="1" applyBorder="1" applyAlignment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  <protection locked="0"/>
    </xf>
    <xf numFmtId="0" fontId="20" fillId="0" borderId="3" xfId="0" applyFont="1" applyFill="1" applyBorder="1" applyAlignment="1" applyProtection="1">
      <alignment horizontal="left" vertical="center" wrapText="1"/>
      <protection locked="0"/>
    </xf>
    <xf numFmtId="0" fontId="20" fillId="0" borderId="4" xfId="0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 applyProtection="1">
      <alignment horizontal="left" vertical="center"/>
      <protection locked="0"/>
    </xf>
    <xf numFmtId="0" fontId="5" fillId="0" borderId="4" xfId="0" applyFont="1" applyFill="1" applyBorder="1" applyAlignment="1" applyProtection="1">
      <alignment horizontal="left" vertical="center"/>
      <protection locked="0"/>
    </xf>
    <xf numFmtId="0" fontId="5" fillId="0" borderId="16" xfId="0" applyFont="1" applyFill="1" applyBorder="1" applyAlignment="1" applyProtection="1">
      <alignment horizontal="left" vertical="center"/>
      <protection locked="0"/>
    </xf>
    <xf numFmtId="0" fontId="5" fillId="0" borderId="17" xfId="0" applyFont="1" applyFill="1" applyBorder="1" applyAlignment="1" applyProtection="1">
      <alignment horizontal="left" vertical="center"/>
      <protection locked="0"/>
    </xf>
    <xf numFmtId="0" fontId="5" fillId="0" borderId="18" xfId="0" applyFont="1" applyFill="1" applyBorder="1" applyAlignment="1" applyProtection="1">
      <alignment horizontal="left" vertical="center"/>
      <protection locked="0"/>
    </xf>
    <xf numFmtId="0" fontId="20" fillId="0" borderId="0" xfId="0" applyFont="1" applyBorder="1" applyAlignment="1" applyProtection="1">
      <alignment horizontal="left" vertical="center"/>
      <protection locked="0"/>
    </xf>
    <xf numFmtId="0" fontId="20" fillId="0" borderId="23" xfId="0" applyFont="1" applyBorder="1" applyAlignment="1" applyProtection="1">
      <alignment horizontal="left" vertical="center"/>
      <protection locked="0"/>
    </xf>
    <xf numFmtId="0" fontId="20" fillId="0" borderId="25" xfId="0" applyFont="1" applyBorder="1" applyAlignment="1" applyProtection="1">
      <alignment horizontal="left" vertical="center"/>
      <protection locked="0"/>
    </xf>
    <xf numFmtId="14" fontId="20" fillId="0" borderId="3" xfId="0" applyNumberFormat="1" applyFont="1" applyBorder="1" applyAlignment="1">
      <alignment horizontal="left" vertical="center"/>
    </xf>
    <xf numFmtId="14" fontId="20" fillId="0" borderId="4" xfId="0" applyNumberFormat="1" applyFont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left" vertical="center" wrapText="1"/>
    </xf>
    <xf numFmtId="0" fontId="23" fillId="0" borderId="26" xfId="0" applyFont="1" applyBorder="1" applyAlignment="1" applyProtection="1">
      <alignment horizontal="left" vertical="center"/>
      <protection hidden="1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34" xfId="0" applyFont="1" applyBorder="1" applyAlignment="1">
      <alignment horizontal="left" vertical="center" wrapText="1"/>
    </xf>
    <xf numFmtId="0" fontId="20" fillId="0" borderId="35" xfId="0" applyFont="1" applyBorder="1" applyAlignment="1">
      <alignment horizontal="left" vertical="center" wrapText="1"/>
    </xf>
    <xf numFmtId="0" fontId="20" fillId="0" borderId="36" xfId="0" applyFont="1" applyBorder="1" applyAlignment="1">
      <alignment horizontal="left" vertical="center" wrapText="1"/>
    </xf>
    <xf numFmtId="0" fontId="3" fillId="0" borderId="5" xfId="0" applyFont="1" applyFill="1" applyBorder="1" applyAlignment="1" applyProtection="1">
      <alignment horizontal="left" vertical="center"/>
      <protection locked="0"/>
    </xf>
    <xf numFmtId="0" fontId="3" fillId="0" borderId="6" xfId="0" applyFont="1" applyFill="1" applyBorder="1" applyAlignment="1" applyProtection="1">
      <alignment horizontal="left" vertical="center"/>
      <protection locked="0"/>
    </xf>
    <xf numFmtId="0" fontId="3" fillId="0" borderId="7" xfId="0" applyFont="1" applyFill="1" applyBorder="1" applyAlignment="1" applyProtection="1">
      <alignment horizontal="left" vertical="center"/>
      <protection locked="0"/>
    </xf>
    <xf numFmtId="0" fontId="20" fillId="0" borderId="51" xfId="0" applyFont="1" applyBorder="1" applyAlignment="1">
      <alignment horizontal="left" vertical="center" wrapText="1"/>
    </xf>
    <xf numFmtId="0" fontId="20" fillId="0" borderId="25" xfId="0" applyFont="1" applyBorder="1" applyAlignment="1">
      <alignment horizontal="left" vertical="center" wrapText="1"/>
    </xf>
    <xf numFmtId="0" fontId="20" fillId="0" borderId="52" xfId="0" applyFont="1" applyBorder="1" applyAlignment="1">
      <alignment horizontal="left" vertical="center" wrapText="1"/>
    </xf>
    <xf numFmtId="0" fontId="20" fillId="0" borderId="2" xfId="0" applyFont="1" applyFill="1" applyBorder="1" applyAlignment="1" applyProtection="1">
      <alignment horizontal="left" vertical="center"/>
      <protection locked="0"/>
    </xf>
    <xf numFmtId="0" fontId="20" fillId="0" borderId="3" xfId="0" applyFont="1" applyFill="1" applyBorder="1" applyAlignment="1" applyProtection="1">
      <alignment horizontal="left" vertical="center"/>
      <protection locked="0"/>
    </xf>
    <xf numFmtId="0" fontId="20" fillId="0" borderId="4" xfId="0" applyFont="1" applyFill="1" applyBorder="1" applyAlignment="1" applyProtection="1">
      <alignment horizontal="left" vertical="center"/>
      <protection locked="0"/>
    </xf>
    <xf numFmtId="0" fontId="20" fillId="0" borderId="16" xfId="0" applyFont="1" applyFill="1" applyBorder="1" applyAlignment="1" applyProtection="1">
      <alignment horizontal="left" vertical="center"/>
      <protection locked="0"/>
    </xf>
    <xf numFmtId="0" fontId="20" fillId="0" borderId="17" xfId="0" applyFont="1" applyFill="1" applyBorder="1" applyAlignment="1" applyProtection="1">
      <alignment horizontal="left" vertical="center"/>
      <protection locked="0"/>
    </xf>
    <xf numFmtId="0" fontId="20" fillId="0" borderId="18" xfId="0" applyFont="1" applyFill="1" applyBorder="1" applyAlignment="1" applyProtection="1">
      <alignment horizontal="left" vertical="center"/>
      <protection locked="0"/>
    </xf>
    <xf numFmtId="0" fontId="20" fillId="0" borderId="1" xfId="0" applyFont="1" applyFill="1" applyBorder="1" applyAlignment="1" applyProtection="1">
      <alignment horizontal="left" vertical="center"/>
      <protection locked="0"/>
    </xf>
    <xf numFmtId="0" fontId="20" fillId="0" borderId="14" xfId="0" applyFont="1" applyFill="1" applyBorder="1" applyAlignment="1" applyProtection="1">
      <alignment horizontal="left" vertical="center"/>
      <protection locked="0"/>
    </xf>
    <xf numFmtId="0" fontId="20" fillId="0" borderId="24" xfId="0" applyFont="1" applyBorder="1" applyAlignment="1">
      <alignment horizontal="left" vertical="center"/>
    </xf>
    <xf numFmtId="0" fontId="20" fillId="0" borderId="23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0" fillId="0" borderId="40" xfId="0" applyFont="1" applyBorder="1" applyAlignment="1">
      <alignment horizontal="left" vertical="center" wrapText="1"/>
    </xf>
    <xf numFmtId="0" fontId="20" fillId="0" borderId="22" xfId="0" applyFont="1" applyBorder="1" applyAlignment="1">
      <alignment horizontal="left" vertical="center" wrapText="1"/>
    </xf>
    <xf numFmtId="0" fontId="20" fillId="0" borderId="41" xfId="0" applyFont="1" applyBorder="1" applyAlignment="1">
      <alignment horizontal="left" vertical="center" wrapText="1"/>
    </xf>
    <xf numFmtId="0" fontId="20" fillId="0" borderId="34" xfId="0" applyFont="1" applyFill="1" applyBorder="1" applyAlignment="1">
      <alignment horizontal="left" vertical="center" wrapText="1"/>
    </xf>
    <xf numFmtId="0" fontId="20" fillId="0" borderId="35" xfId="0" applyFont="1" applyFill="1" applyBorder="1" applyAlignment="1">
      <alignment horizontal="left" vertical="center" wrapText="1"/>
    </xf>
    <xf numFmtId="0" fontId="20" fillId="0" borderId="35" xfId="0" applyFont="1" applyFill="1" applyBorder="1" applyAlignment="1">
      <alignment horizontal="right" vertical="center" wrapText="1"/>
    </xf>
    <xf numFmtId="0" fontId="20" fillId="0" borderId="54" xfId="0" applyFont="1" applyFill="1" applyBorder="1" applyAlignment="1">
      <alignment horizontal="right" vertical="center" wrapText="1"/>
    </xf>
    <xf numFmtId="0" fontId="20" fillId="0" borderId="40" xfId="0" applyFont="1" applyFill="1" applyBorder="1" applyAlignment="1">
      <alignment horizontal="left" vertical="center"/>
    </xf>
    <xf numFmtId="0" fontId="20" fillId="0" borderId="22" xfId="0" applyFont="1" applyFill="1" applyBorder="1" applyAlignment="1">
      <alignment horizontal="left" vertical="center"/>
    </xf>
    <xf numFmtId="0" fontId="20" fillId="0" borderId="41" xfId="0" applyFont="1" applyFill="1" applyBorder="1" applyAlignment="1">
      <alignment horizontal="left" vertical="center"/>
    </xf>
    <xf numFmtId="0" fontId="20" fillId="0" borderId="4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34" xfId="0" applyFont="1" applyFill="1" applyBorder="1" applyAlignment="1">
      <alignment horizontal="left" vertical="center"/>
    </xf>
    <xf numFmtId="0" fontId="20" fillId="0" borderId="35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0" fontId="20" fillId="0" borderId="11" xfId="0" applyFont="1" applyFill="1" applyBorder="1" applyAlignment="1" applyProtection="1">
      <alignment horizontal="center" vertical="center" wrapText="1"/>
      <protection locked="0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4" borderId="11" xfId="0" applyFont="1" applyFill="1" applyBorder="1" applyAlignment="1" applyProtection="1">
      <alignment horizontal="left" vertical="center" wrapText="1"/>
      <protection locked="0"/>
    </xf>
    <xf numFmtId="0" fontId="20" fillId="4" borderId="3" xfId="0" applyFont="1" applyFill="1" applyBorder="1" applyAlignment="1" applyProtection="1">
      <alignment horizontal="left" vertical="center" wrapText="1"/>
      <protection locked="0"/>
    </xf>
    <xf numFmtId="0" fontId="20" fillId="4" borderId="4" xfId="0" applyFont="1" applyFill="1" applyBorder="1" applyAlignment="1" applyProtection="1">
      <alignment horizontal="left" vertical="center" wrapText="1"/>
      <protection locked="0"/>
    </xf>
    <xf numFmtId="0" fontId="20" fillId="0" borderId="12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left" vertical="center" wrapText="1"/>
    </xf>
  </cellXfs>
  <cellStyles count="1">
    <cellStyle name="Standard" xfId="0" builtinId="0"/>
  </cellStyles>
  <dxfs count="1993">
    <dxf>
      <fill>
        <patternFill>
          <bgColor theme="0" tint="-4.9989318521683403E-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 patternType="none">
          <bgColor auto="1"/>
        </patternFill>
      </fill>
    </dxf>
    <dxf>
      <font>
        <color theme="1"/>
      </font>
      <fill>
        <patternFill patternType="solid"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</dxf>
    <dxf>
      <font>
        <color theme="0" tint="-0.34998626667073579"/>
      </font>
    </dxf>
    <dxf>
      <font>
        <b/>
        <i val="0"/>
      </font>
    </dxf>
    <dxf>
      <font>
        <color theme="0" tint="-0.3499862666707357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auto="1"/>
      </font>
    </dxf>
    <dxf>
      <fill>
        <patternFill>
          <bgColor theme="0" tint="-0.14996795556505021"/>
        </patternFill>
      </fill>
      <border>
        <bottom style="thin">
          <color auto="1"/>
        </bottom>
        <vertical/>
        <horizontal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checked="Checked" firstButton="1" fmlaLink="$O$6"/>
</file>

<file path=xl/ctrlProps/ctrlProp10.xml><?xml version="1.0" encoding="utf-8"?>
<formControlPr xmlns="http://schemas.microsoft.com/office/spreadsheetml/2009/9/main" objectType="Radio"/>
</file>

<file path=xl/ctrlProps/ctrlProp100.xml><?xml version="1.0" encoding="utf-8"?>
<formControlPr xmlns="http://schemas.microsoft.com/office/spreadsheetml/2009/9/main" objectType="Radio" lockText="1"/>
</file>

<file path=xl/ctrlProps/ctrlProp101.xml><?xml version="1.0" encoding="utf-8"?>
<formControlPr xmlns="http://schemas.microsoft.com/office/spreadsheetml/2009/9/main" objectType="Radio"/>
</file>

<file path=xl/ctrlProps/ctrlProp102.xml><?xml version="1.0" encoding="utf-8"?>
<formControlPr xmlns="http://schemas.microsoft.com/office/spreadsheetml/2009/9/main" objectType="Radio"/>
</file>

<file path=xl/ctrlProps/ctrlProp103.xml><?xml version="1.0" encoding="utf-8"?>
<formControlPr xmlns="http://schemas.microsoft.com/office/spreadsheetml/2009/9/main" objectType="Radio" firstButton="1" fmlaLink="$N$12" lockText="1"/>
</file>

<file path=xl/ctrlProps/ctrlProp104.xml><?xml version="1.0" encoding="utf-8"?>
<formControlPr xmlns="http://schemas.microsoft.com/office/spreadsheetml/2009/9/main" objectType="Radio" lockText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Radio" firstButton="1" fmlaLink="$N$20"/>
</file>

<file path=xl/ctrlProps/ctrlProp108.xml><?xml version="1.0" encoding="utf-8"?>
<formControlPr xmlns="http://schemas.microsoft.com/office/spreadsheetml/2009/9/main" objectType="Radio"/>
</file>

<file path=xl/ctrlProps/ctrlProp109.xml><?xml version="1.0" encoding="utf-8"?>
<formControlPr xmlns="http://schemas.microsoft.com/office/spreadsheetml/2009/9/main" objectType="Radio"/>
</file>

<file path=xl/ctrlProps/ctrlProp11.xml><?xml version="1.0" encoding="utf-8"?>
<formControlPr xmlns="http://schemas.microsoft.com/office/spreadsheetml/2009/9/main" objectType="Radio"/>
</file>

<file path=xl/ctrlProps/ctrlProp110.xml><?xml version="1.0" encoding="utf-8"?>
<formControlPr xmlns="http://schemas.microsoft.com/office/spreadsheetml/2009/9/main" objectType="Radio"/>
</file>

<file path=xl/ctrlProps/ctrlProp111.xml><?xml version="1.0" encoding="utf-8"?>
<formControlPr xmlns="http://schemas.microsoft.com/office/spreadsheetml/2009/9/main" objectType="Radio"/>
</file>

<file path=xl/ctrlProps/ctrlProp112.xml><?xml version="1.0" encoding="utf-8"?>
<formControlPr xmlns="http://schemas.microsoft.com/office/spreadsheetml/2009/9/main" objectType="Radio"/>
</file>

<file path=xl/ctrlProps/ctrlProp113.xml><?xml version="1.0" encoding="utf-8"?>
<formControlPr xmlns="http://schemas.microsoft.com/office/spreadsheetml/2009/9/main" objectType="Radio"/>
</file>

<file path=xl/ctrlProps/ctrlProp114.xml><?xml version="1.0" encoding="utf-8"?>
<formControlPr xmlns="http://schemas.microsoft.com/office/spreadsheetml/2009/9/main" objectType="Radio"/>
</file>

<file path=xl/ctrlProps/ctrlProp115.xml><?xml version="1.0" encoding="utf-8"?>
<formControlPr xmlns="http://schemas.microsoft.com/office/spreadsheetml/2009/9/main" objectType="Radio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Radio" checked="Checked" firstButton="1" fmlaLink="$N$8" lockText="1"/>
</file>

<file path=xl/ctrlProps/ctrlProp118.xml><?xml version="1.0" encoding="utf-8"?>
<formControlPr xmlns="http://schemas.microsoft.com/office/spreadsheetml/2009/9/main" objectType="Radio"/>
</file>

<file path=xl/ctrlProps/ctrlProp119.xml><?xml version="1.0" encoding="utf-8"?>
<formControlPr xmlns="http://schemas.microsoft.com/office/spreadsheetml/2009/9/main" objectType="Radio"/>
</file>

<file path=xl/ctrlProps/ctrlProp12.xml><?xml version="1.0" encoding="utf-8"?>
<formControlPr xmlns="http://schemas.microsoft.com/office/spreadsheetml/2009/9/main" objectType="Radio"/>
</file>

<file path=xl/ctrlProps/ctrlProp120.xml><?xml version="1.0" encoding="utf-8"?>
<formControlPr xmlns="http://schemas.microsoft.com/office/spreadsheetml/2009/9/main" objectType="Radio" firstButton="1" fmlaLink="$N$12" lockText="1"/>
</file>

<file path=xl/ctrlProps/ctrlProp121.xml><?xml version="1.0" encoding="utf-8"?>
<formControlPr xmlns="http://schemas.microsoft.com/office/spreadsheetml/2009/9/main" objectType="Radio" lockText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Radio" firstButton="1" fmlaLink="$N$8" lockText="1"/>
</file>

<file path=xl/ctrlProps/ctrlProp126.xml><?xml version="1.0" encoding="utf-8"?>
<formControlPr xmlns="http://schemas.microsoft.com/office/spreadsheetml/2009/9/main" objectType="Radio" lockText="1"/>
</file>

<file path=xl/ctrlProps/ctrlProp127.xml><?xml version="1.0" encoding="utf-8"?>
<formControlPr xmlns="http://schemas.microsoft.com/office/spreadsheetml/2009/9/main" objectType="Radio" firstButton="1" fmlaLink="$N$20" lockText="1"/>
</file>

<file path=xl/ctrlProps/ctrlProp128.xml><?xml version="1.0" encoding="utf-8"?>
<formControlPr xmlns="http://schemas.microsoft.com/office/spreadsheetml/2009/9/main" objectType="Radio" lockText="1"/>
</file>

<file path=xl/ctrlProps/ctrlProp129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Radio"/>
</file>

<file path=xl/ctrlProps/ctrlProp130.xml><?xml version="1.0" encoding="utf-8"?>
<formControlPr xmlns="http://schemas.microsoft.com/office/spreadsheetml/2009/9/main" objectType="Radio" lockText="1"/>
</file>

<file path=xl/ctrlProps/ctrlProp131.xml><?xml version="1.0" encoding="utf-8"?>
<formControlPr xmlns="http://schemas.microsoft.com/office/spreadsheetml/2009/9/main" objectType="Radio" lockText="1"/>
</file>

<file path=xl/ctrlProps/ctrlProp132.xml><?xml version="1.0" encoding="utf-8"?>
<formControlPr xmlns="http://schemas.microsoft.com/office/spreadsheetml/2009/9/main" objectType="Radio" lockText="1"/>
</file>

<file path=xl/ctrlProps/ctrlProp133.xml><?xml version="1.0" encoding="utf-8"?>
<formControlPr xmlns="http://schemas.microsoft.com/office/spreadsheetml/2009/9/main" objectType="Radio" lockText="1"/>
</file>

<file path=xl/ctrlProps/ctrlProp134.xml><?xml version="1.0" encoding="utf-8"?>
<formControlPr xmlns="http://schemas.microsoft.com/office/spreadsheetml/2009/9/main" objectType="Radio" lockText="1"/>
</file>

<file path=xl/ctrlProps/ctrlProp135.xml><?xml version="1.0" encoding="utf-8"?>
<formControlPr xmlns="http://schemas.microsoft.com/office/spreadsheetml/2009/9/main" objectType="Radio" lockText="1"/>
</file>

<file path=xl/ctrlProps/ctrlProp136.xml><?xml version="1.0" encoding="utf-8"?>
<formControlPr xmlns="http://schemas.microsoft.com/office/spreadsheetml/2009/9/main" objectType="Radio" lockText="1"/>
</file>

<file path=xl/ctrlProps/ctrlProp137.xml><?xml version="1.0" encoding="utf-8"?>
<formControlPr xmlns="http://schemas.microsoft.com/office/spreadsheetml/2009/9/main" objectType="Radio" lockText="1"/>
</file>

<file path=xl/ctrlProps/ctrlProp138.xml><?xml version="1.0" encoding="utf-8"?>
<formControlPr xmlns="http://schemas.microsoft.com/office/spreadsheetml/2009/9/main" objectType="Radio" lockText="1"/>
</file>

<file path=xl/ctrlProps/ctrlProp139.xml><?xml version="1.0" encoding="utf-8"?>
<formControlPr xmlns="http://schemas.microsoft.com/office/spreadsheetml/2009/9/main" objectType="Radio" lockText="1"/>
</file>

<file path=xl/ctrlProps/ctrlProp14.xml><?xml version="1.0" encoding="utf-8"?>
<formControlPr xmlns="http://schemas.microsoft.com/office/spreadsheetml/2009/9/main" objectType="Radio"/>
</file>

<file path=xl/ctrlProps/ctrlProp140.xml><?xml version="1.0" encoding="utf-8"?>
<formControlPr xmlns="http://schemas.microsoft.com/office/spreadsheetml/2009/9/main" objectType="Radio" lockText="1"/>
</file>

<file path=xl/ctrlProps/ctrlProp141.xml><?xml version="1.0" encoding="utf-8"?>
<formControlPr xmlns="http://schemas.microsoft.com/office/spreadsheetml/2009/9/main" objectType="Radio" lockText="1"/>
</file>

<file path=xl/ctrlProps/ctrlProp142.xml><?xml version="1.0" encoding="utf-8"?>
<formControlPr xmlns="http://schemas.microsoft.com/office/spreadsheetml/2009/9/main" objectType="Radio" lockText="1"/>
</file>

<file path=xl/ctrlProps/ctrlProp143.xml><?xml version="1.0" encoding="utf-8"?>
<formControlPr xmlns="http://schemas.microsoft.com/office/spreadsheetml/2009/9/main" objectType="Radio" lockText="1"/>
</file>

<file path=xl/ctrlProps/ctrlProp144.xml><?xml version="1.0" encoding="utf-8"?>
<formControlPr xmlns="http://schemas.microsoft.com/office/spreadsheetml/2009/9/main" objectType="Radio" firstButton="1" fmlaLink="$N$12" lockText="1"/>
</file>

<file path=xl/ctrlProps/ctrlProp145.xml><?xml version="1.0" encoding="utf-8"?>
<formControlPr xmlns="http://schemas.microsoft.com/office/spreadsheetml/2009/9/main" objectType="Radio" lockText="1"/>
</file>

<file path=xl/ctrlProps/ctrlProp146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GBox" noThreeD="1"/>
</file>

<file path=xl/ctrlProps/ctrlProp149.xml><?xml version="1.0" encoding="utf-8"?>
<formControlPr xmlns="http://schemas.microsoft.com/office/spreadsheetml/2009/9/main" objectType="Radio" checked="Checked" firstButton="1" fmlaLink="$N$8" lockText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Radio" firstButton="1" fmlaLink="$N$20" lockText="1"/>
</file>

<file path=xl/ctrlProps/ctrlProp151.xml><?xml version="1.0" encoding="utf-8"?>
<formControlPr xmlns="http://schemas.microsoft.com/office/spreadsheetml/2009/9/main" objectType="Radio" lockText="1"/>
</file>

<file path=xl/ctrlProps/ctrlProp152.xml><?xml version="1.0" encoding="utf-8"?>
<formControlPr xmlns="http://schemas.microsoft.com/office/spreadsheetml/2009/9/main" objectType="Radio" lockText="1"/>
</file>

<file path=xl/ctrlProps/ctrlProp153.xml><?xml version="1.0" encoding="utf-8"?>
<formControlPr xmlns="http://schemas.microsoft.com/office/spreadsheetml/2009/9/main" objectType="Radio" lockText="1"/>
</file>

<file path=xl/ctrlProps/ctrlProp154.xml><?xml version="1.0" encoding="utf-8"?>
<formControlPr xmlns="http://schemas.microsoft.com/office/spreadsheetml/2009/9/main" objectType="Radio" lockText="1"/>
</file>

<file path=xl/ctrlProps/ctrlProp155.xml><?xml version="1.0" encoding="utf-8"?>
<formControlPr xmlns="http://schemas.microsoft.com/office/spreadsheetml/2009/9/main" objectType="Radio" lockText="1"/>
</file>

<file path=xl/ctrlProps/ctrlProp156.xml><?xml version="1.0" encoding="utf-8"?>
<formControlPr xmlns="http://schemas.microsoft.com/office/spreadsheetml/2009/9/main" objectType="Radio" lockText="1"/>
</file>

<file path=xl/ctrlProps/ctrlProp157.xml><?xml version="1.0" encoding="utf-8"?>
<formControlPr xmlns="http://schemas.microsoft.com/office/spreadsheetml/2009/9/main" objectType="Radio" lockText="1"/>
</file>

<file path=xl/ctrlProps/ctrlProp158.xml><?xml version="1.0" encoding="utf-8"?>
<formControlPr xmlns="http://schemas.microsoft.com/office/spreadsheetml/2009/9/main" objectType="Radio" lockText="1"/>
</file>

<file path=xl/ctrlProps/ctrlProp159.xml><?xml version="1.0" encoding="utf-8"?>
<formControlPr xmlns="http://schemas.microsoft.com/office/spreadsheetml/2009/9/main" objectType="Radio" lockText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Radio" lockText="1"/>
</file>

<file path=xl/ctrlProps/ctrlProp161.xml><?xml version="1.0" encoding="utf-8"?>
<formControlPr xmlns="http://schemas.microsoft.com/office/spreadsheetml/2009/9/main" objectType="Radio" lockText="1"/>
</file>

<file path=xl/ctrlProps/ctrlProp162.xml><?xml version="1.0" encoding="utf-8"?>
<formControlPr xmlns="http://schemas.microsoft.com/office/spreadsheetml/2009/9/main" objectType="Radio" firstButton="1" fmlaLink="$N$12" lockText="1"/>
</file>

<file path=xl/ctrlProps/ctrlProp163.xml><?xml version="1.0" encoding="utf-8"?>
<formControlPr xmlns="http://schemas.microsoft.com/office/spreadsheetml/2009/9/main" objectType="Radio" lockText="1"/>
</file>

<file path=xl/ctrlProps/ctrlProp164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Radio" checked="Checked" firstButton="1" fmlaLink="$N$8" lockText="1"/>
</file>

<file path=xl/ctrlProps/ctrlProp168.xml><?xml version="1.0" encoding="utf-8"?>
<formControlPr xmlns="http://schemas.microsoft.com/office/spreadsheetml/2009/9/main" objectType="Radio" firstButton="1" fmlaLink="$N$20" lockText="1"/>
</file>

<file path=xl/ctrlProps/ctrlProp169.xml><?xml version="1.0" encoding="utf-8"?>
<formControlPr xmlns="http://schemas.microsoft.com/office/spreadsheetml/2009/9/main" objectType="Radio" lockText="1"/>
</file>

<file path=xl/ctrlProps/ctrlProp17.xml><?xml version="1.0" encoding="utf-8"?>
<formControlPr xmlns="http://schemas.microsoft.com/office/spreadsheetml/2009/9/main" objectType="Radio" firstButton="1" fmlaLink="$N$20"/>
</file>

<file path=xl/ctrlProps/ctrlProp170.xml><?xml version="1.0" encoding="utf-8"?>
<formControlPr xmlns="http://schemas.microsoft.com/office/spreadsheetml/2009/9/main" objectType="Radio" lockText="1"/>
</file>

<file path=xl/ctrlProps/ctrlProp171.xml><?xml version="1.0" encoding="utf-8"?>
<formControlPr xmlns="http://schemas.microsoft.com/office/spreadsheetml/2009/9/main" objectType="Radio" lockText="1"/>
</file>

<file path=xl/ctrlProps/ctrlProp172.xml><?xml version="1.0" encoding="utf-8"?>
<formControlPr xmlns="http://schemas.microsoft.com/office/spreadsheetml/2009/9/main" objectType="Radio" lockText="1"/>
</file>

<file path=xl/ctrlProps/ctrlProp173.xml><?xml version="1.0" encoding="utf-8"?>
<formControlPr xmlns="http://schemas.microsoft.com/office/spreadsheetml/2009/9/main" objectType="Radio" lockText="1"/>
</file>

<file path=xl/ctrlProps/ctrlProp174.xml><?xml version="1.0" encoding="utf-8"?>
<formControlPr xmlns="http://schemas.microsoft.com/office/spreadsheetml/2009/9/main" objectType="Radio" lockText="1"/>
</file>

<file path=xl/ctrlProps/ctrlProp175.xml><?xml version="1.0" encoding="utf-8"?>
<formControlPr xmlns="http://schemas.microsoft.com/office/spreadsheetml/2009/9/main" objectType="Radio" lockText="1"/>
</file>

<file path=xl/ctrlProps/ctrlProp176.xml><?xml version="1.0" encoding="utf-8"?>
<formControlPr xmlns="http://schemas.microsoft.com/office/spreadsheetml/2009/9/main" objectType="Radio" lockText="1"/>
</file>

<file path=xl/ctrlProps/ctrlProp177.xml><?xml version="1.0" encoding="utf-8"?>
<formControlPr xmlns="http://schemas.microsoft.com/office/spreadsheetml/2009/9/main" objectType="Radio" lockText="1"/>
</file>

<file path=xl/ctrlProps/ctrlProp178.xml><?xml version="1.0" encoding="utf-8"?>
<formControlPr xmlns="http://schemas.microsoft.com/office/spreadsheetml/2009/9/main" objectType="Radio" lockText="1"/>
</file>

<file path=xl/ctrlProps/ctrlProp179.xml><?xml version="1.0" encoding="utf-8"?>
<formControlPr xmlns="http://schemas.microsoft.com/office/spreadsheetml/2009/9/main" objectType="Radio" lockText="1"/>
</file>

<file path=xl/ctrlProps/ctrlProp18.xml><?xml version="1.0" encoding="utf-8"?>
<formControlPr xmlns="http://schemas.microsoft.com/office/spreadsheetml/2009/9/main" objectType="Radio"/>
</file>

<file path=xl/ctrlProps/ctrlProp180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Radio" firstButton="1" fmlaLink="$N$23" lockText="1"/>
</file>

<file path=xl/ctrlProps/ctrlProp182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Radio" firstButton="1" fmlaLink="$N$24" lockText="1"/>
</file>

<file path=xl/ctrlProps/ctrlProp184.xml><?xml version="1.0" encoding="utf-8"?>
<formControlPr xmlns="http://schemas.microsoft.com/office/spreadsheetml/2009/9/main" objectType="Radio" lockText="1"/>
</file>

<file path=xl/ctrlProps/ctrlProp185.xml><?xml version="1.0" encoding="utf-8"?>
<formControlPr xmlns="http://schemas.microsoft.com/office/spreadsheetml/2009/9/main" objectType="Radio" lockText="1"/>
</file>

<file path=xl/ctrlProps/ctrlProp186.xml><?xml version="1.0" encoding="utf-8"?>
<formControlPr xmlns="http://schemas.microsoft.com/office/spreadsheetml/2009/9/main" objectType="Radio" lockText="1"/>
</file>

<file path=xl/ctrlProps/ctrlProp187.xml><?xml version="1.0" encoding="utf-8"?>
<formControlPr xmlns="http://schemas.microsoft.com/office/spreadsheetml/2009/9/main" objectType="Radio" lockText="1"/>
</file>

<file path=xl/ctrlProps/ctrlProp188.xml><?xml version="1.0" encoding="utf-8"?>
<formControlPr xmlns="http://schemas.microsoft.com/office/spreadsheetml/2009/9/main" objectType="Radio" lockText="1"/>
</file>

<file path=xl/ctrlProps/ctrlProp189.xml><?xml version="1.0" encoding="utf-8"?>
<formControlPr xmlns="http://schemas.microsoft.com/office/spreadsheetml/2009/9/main" objectType="Radio" lockText="1"/>
</file>

<file path=xl/ctrlProps/ctrlProp19.xml><?xml version="1.0" encoding="utf-8"?>
<formControlPr xmlns="http://schemas.microsoft.com/office/spreadsheetml/2009/9/main" objectType="Radio"/>
</file>

<file path=xl/ctrlProps/ctrlProp190.xml><?xml version="1.0" encoding="utf-8"?>
<formControlPr xmlns="http://schemas.microsoft.com/office/spreadsheetml/2009/9/main" objectType="Radio" lockText="1"/>
</file>

<file path=xl/ctrlProps/ctrlProp191.xml><?xml version="1.0" encoding="utf-8"?>
<formControlPr xmlns="http://schemas.microsoft.com/office/spreadsheetml/2009/9/main" objectType="Radio" lockText="1"/>
</file>

<file path=xl/ctrlProps/ctrlProp192.xml><?xml version="1.0" encoding="utf-8"?>
<formControlPr xmlns="http://schemas.microsoft.com/office/spreadsheetml/2009/9/main" objectType="Radio" firstButton="1" fmlaLink="$N$12" lockText="1"/>
</file>

<file path=xl/ctrlProps/ctrlProp193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Radio"/>
</file>

<file path=xl/ctrlProps/ctrlProp21.xml><?xml version="1.0" encoding="utf-8"?>
<formControlPr xmlns="http://schemas.microsoft.com/office/spreadsheetml/2009/9/main" objectType="Radio"/>
</file>

<file path=xl/ctrlProps/ctrlProp22.xml><?xml version="1.0" encoding="utf-8"?>
<formControlPr xmlns="http://schemas.microsoft.com/office/spreadsheetml/2009/9/main" objectType="Radio"/>
</file>

<file path=xl/ctrlProps/ctrlProp23.xml><?xml version="1.0" encoding="utf-8"?>
<formControlPr xmlns="http://schemas.microsoft.com/office/spreadsheetml/2009/9/main" objectType="Radio"/>
</file>

<file path=xl/ctrlProps/ctrlProp24.xml><?xml version="1.0" encoding="utf-8"?>
<formControlPr xmlns="http://schemas.microsoft.com/office/spreadsheetml/2009/9/main" objectType="Radio"/>
</file>

<file path=xl/ctrlProps/ctrlProp25.xml><?xml version="1.0" encoding="utf-8"?>
<formControlPr xmlns="http://schemas.microsoft.com/office/spreadsheetml/2009/9/main" objectType="Radio"/>
</file>

<file path=xl/ctrlProps/ctrlProp26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Radio" firstButton="1" fmlaLink="$N$12" lockText="1"/>
</file>

<file path=xl/ctrlProps/ctrlProp28.xml><?xml version="1.0" encoding="utf-8"?>
<formControlPr xmlns="http://schemas.microsoft.com/office/spreadsheetml/2009/9/main" objectType="Radio" lockText="1"/>
</file>

<file path=xl/ctrlProps/ctrlProp29.xml><?xml version="1.0" encoding="utf-8"?>
<formControlPr xmlns="http://schemas.microsoft.com/office/spreadsheetml/2009/9/main" objectType="Radio" firstButton="1" fmlaLink="$N$8" lockText="1"/>
</file>

<file path=xl/ctrlProps/ctrlProp3.xml><?xml version="1.0" encoding="utf-8"?>
<formControlPr xmlns="http://schemas.microsoft.com/office/spreadsheetml/2009/9/main" objectType="Radio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Radio" noThreeD="1"/>
</file>

<file path=xl/ctrlProps/ctrlProp32.xml><?xml version="1.0" encoding="utf-8"?>
<formControlPr xmlns="http://schemas.microsoft.com/office/spreadsheetml/2009/9/main" objectType="Radio"/>
</file>

<file path=xl/ctrlProps/ctrlProp33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fmlaLink="$N$20"/>
</file>

<file path=xl/ctrlProps/ctrlProp36.xml><?xml version="1.0" encoding="utf-8"?>
<formControlPr xmlns="http://schemas.microsoft.com/office/spreadsheetml/2009/9/main" objectType="Radio"/>
</file>

<file path=xl/ctrlProps/ctrlProp37.xml><?xml version="1.0" encoding="utf-8"?>
<formControlPr xmlns="http://schemas.microsoft.com/office/spreadsheetml/2009/9/main" objectType="Radio"/>
</file>

<file path=xl/ctrlProps/ctrlProp38.xml><?xml version="1.0" encoding="utf-8"?>
<formControlPr xmlns="http://schemas.microsoft.com/office/spreadsheetml/2009/9/main" objectType="Radio"/>
</file>

<file path=xl/ctrlProps/ctrlProp39.xml><?xml version="1.0" encoding="utf-8"?>
<formControlPr xmlns="http://schemas.microsoft.com/office/spreadsheetml/2009/9/main" objectType="Radio"/>
</file>

<file path=xl/ctrlProps/ctrlProp4.xml><?xml version="1.0" encoding="utf-8"?>
<formControlPr xmlns="http://schemas.microsoft.com/office/spreadsheetml/2009/9/main" objectType="Radio"/>
</file>

<file path=xl/ctrlProps/ctrlProp40.xml><?xml version="1.0" encoding="utf-8"?>
<formControlPr xmlns="http://schemas.microsoft.com/office/spreadsheetml/2009/9/main" objectType="Radio"/>
</file>

<file path=xl/ctrlProps/ctrlProp41.xml><?xml version="1.0" encoding="utf-8"?>
<formControlPr xmlns="http://schemas.microsoft.com/office/spreadsheetml/2009/9/main" objectType="Radio"/>
</file>

<file path=xl/ctrlProps/ctrlProp42.xml><?xml version="1.0" encoding="utf-8"?>
<formControlPr xmlns="http://schemas.microsoft.com/office/spreadsheetml/2009/9/main" objectType="Radio"/>
</file>

<file path=xl/ctrlProps/ctrlProp43.xml><?xml version="1.0" encoding="utf-8"?>
<formControlPr xmlns="http://schemas.microsoft.com/office/spreadsheetml/2009/9/main" objectType="Radio"/>
</file>

<file path=xl/ctrlProps/ctrlProp44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Radio" firstButton="1" fmlaLink="$N$12" lockText="1"/>
</file>

<file path=xl/ctrlProps/ctrlProp46.xml><?xml version="1.0" encoding="utf-8"?>
<formControlPr xmlns="http://schemas.microsoft.com/office/spreadsheetml/2009/9/main" objectType="Radio" lockText="1"/>
</file>

<file path=xl/ctrlProps/ctrlProp47.xml><?xml version="1.0" encoding="utf-8"?>
<formControlPr xmlns="http://schemas.microsoft.com/office/spreadsheetml/2009/9/main" objectType="Radio" firstButton="1" fmlaLink="$N$8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Radio"/>
</file>

<file path=xl/ctrlProps/ctrlProp5.xml><?xml version="1.0" encoding="utf-8"?>
<formControlPr xmlns="http://schemas.microsoft.com/office/spreadsheetml/2009/9/main" objectType="Radio"/>
</file>

<file path=xl/ctrlProps/ctrlProp50.xml><?xml version="1.0" encoding="utf-8"?>
<formControlPr xmlns="http://schemas.microsoft.com/office/spreadsheetml/2009/9/main" objectType="Radio"/>
</file>

<file path=xl/ctrlProps/ctrlProp51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Radio" firstButton="1" fmlaLink="$N$20"/>
</file>

<file path=xl/ctrlProps/ctrlProp54.xml><?xml version="1.0" encoding="utf-8"?>
<formControlPr xmlns="http://schemas.microsoft.com/office/spreadsheetml/2009/9/main" objectType="Radio"/>
</file>

<file path=xl/ctrlProps/ctrlProp55.xml><?xml version="1.0" encoding="utf-8"?>
<formControlPr xmlns="http://schemas.microsoft.com/office/spreadsheetml/2009/9/main" objectType="Radio"/>
</file>

<file path=xl/ctrlProps/ctrlProp56.xml><?xml version="1.0" encoding="utf-8"?>
<formControlPr xmlns="http://schemas.microsoft.com/office/spreadsheetml/2009/9/main" objectType="Radio"/>
</file>

<file path=xl/ctrlProps/ctrlProp57.xml><?xml version="1.0" encoding="utf-8"?>
<formControlPr xmlns="http://schemas.microsoft.com/office/spreadsheetml/2009/9/main" objectType="Radio"/>
</file>

<file path=xl/ctrlProps/ctrlProp58.xml><?xml version="1.0" encoding="utf-8"?>
<formControlPr xmlns="http://schemas.microsoft.com/office/spreadsheetml/2009/9/main" objectType="Radio"/>
</file>

<file path=xl/ctrlProps/ctrlProp59.xml><?xml version="1.0" encoding="utf-8"?>
<formControlPr xmlns="http://schemas.microsoft.com/office/spreadsheetml/2009/9/main" objectType="Radio"/>
</file>

<file path=xl/ctrlProps/ctrlProp6.xml><?xml version="1.0" encoding="utf-8"?>
<formControlPr xmlns="http://schemas.microsoft.com/office/spreadsheetml/2009/9/main" objectType="Radio"/>
</file>

<file path=xl/ctrlProps/ctrlProp60.xml><?xml version="1.0" encoding="utf-8"?>
<formControlPr xmlns="http://schemas.microsoft.com/office/spreadsheetml/2009/9/main" objectType="Radio"/>
</file>

<file path=xl/ctrlProps/ctrlProp61.xml><?xml version="1.0" encoding="utf-8"?>
<formControlPr xmlns="http://schemas.microsoft.com/office/spreadsheetml/2009/9/main" objectType="Radio"/>
</file>

<file path=xl/ctrlProps/ctrlProp62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Radio" firstButton="1" fmlaLink="$N$8" lockText="1"/>
</file>

<file path=xl/ctrlProps/ctrlProp64.xml><?xml version="1.0" encoding="utf-8"?>
<formControlPr xmlns="http://schemas.microsoft.com/office/spreadsheetml/2009/9/main" objectType="Radio" lockText="1"/>
</file>

<file path=xl/ctrlProps/ctrlProp65.xml><?xml version="1.0" encoding="utf-8"?>
<formControlPr xmlns="http://schemas.microsoft.com/office/spreadsheetml/2009/9/main" objectType="Radio"/>
</file>

<file path=xl/ctrlProps/ctrlProp66.xml><?xml version="1.0" encoding="utf-8"?>
<formControlPr xmlns="http://schemas.microsoft.com/office/spreadsheetml/2009/9/main" objectType="Radio"/>
</file>

<file path=xl/ctrlProps/ctrlProp67.xml><?xml version="1.0" encoding="utf-8"?>
<formControlPr xmlns="http://schemas.microsoft.com/office/spreadsheetml/2009/9/main" objectType="Radio" firstButton="1" fmlaLink="$N$12" lockText="1"/>
</file>

<file path=xl/ctrlProps/ctrlProp68.xml><?xml version="1.0" encoding="utf-8"?>
<formControlPr xmlns="http://schemas.microsoft.com/office/spreadsheetml/2009/9/main" objectType="Radio" lockText="1"/>
</file>

<file path=xl/ctrlProps/ctrlProp6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/>
</file>

<file path=xl/ctrlProps/ctrlProp70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Radio" firstButton="1" fmlaLink="$N$20"/>
</file>

<file path=xl/ctrlProps/ctrlProp72.xml><?xml version="1.0" encoding="utf-8"?>
<formControlPr xmlns="http://schemas.microsoft.com/office/spreadsheetml/2009/9/main" objectType="Radio"/>
</file>

<file path=xl/ctrlProps/ctrlProp73.xml><?xml version="1.0" encoding="utf-8"?>
<formControlPr xmlns="http://schemas.microsoft.com/office/spreadsheetml/2009/9/main" objectType="Radio"/>
</file>

<file path=xl/ctrlProps/ctrlProp74.xml><?xml version="1.0" encoding="utf-8"?>
<formControlPr xmlns="http://schemas.microsoft.com/office/spreadsheetml/2009/9/main" objectType="Radio"/>
</file>

<file path=xl/ctrlProps/ctrlProp75.xml><?xml version="1.0" encoding="utf-8"?>
<formControlPr xmlns="http://schemas.microsoft.com/office/spreadsheetml/2009/9/main" objectType="Radio"/>
</file>

<file path=xl/ctrlProps/ctrlProp76.xml><?xml version="1.0" encoding="utf-8"?>
<formControlPr xmlns="http://schemas.microsoft.com/office/spreadsheetml/2009/9/main" objectType="Radio"/>
</file>

<file path=xl/ctrlProps/ctrlProp77.xml><?xml version="1.0" encoding="utf-8"?>
<formControlPr xmlns="http://schemas.microsoft.com/office/spreadsheetml/2009/9/main" objectType="Radio"/>
</file>

<file path=xl/ctrlProps/ctrlProp78.xml><?xml version="1.0" encoding="utf-8"?>
<formControlPr xmlns="http://schemas.microsoft.com/office/spreadsheetml/2009/9/main" objectType="Radio"/>
</file>

<file path=xl/ctrlProps/ctrlProp79.xml><?xml version="1.0" encoding="utf-8"?>
<formControlPr xmlns="http://schemas.microsoft.com/office/spreadsheetml/2009/9/main" objectType="Radio"/>
</file>

<file path=xl/ctrlProps/ctrlProp8.xml><?xml version="1.0" encoding="utf-8"?>
<formControlPr xmlns="http://schemas.microsoft.com/office/spreadsheetml/2009/9/main" objectType="Radio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Radio" firstButton="1" fmlaLink="$N$8" lockText="1"/>
</file>

<file path=xl/ctrlProps/ctrlProp82.xml><?xml version="1.0" encoding="utf-8"?>
<formControlPr xmlns="http://schemas.microsoft.com/office/spreadsheetml/2009/9/main" objectType="Radio" lockText="1"/>
</file>

<file path=xl/ctrlProps/ctrlProp83.xml><?xml version="1.0" encoding="utf-8"?>
<formControlPr xmlns="http://schemas.microsoft.com/office/spreadsheetml/2009/9/main" objectType="Radio"/>
</file>

<file path=xl/ctrlProps/ctrlProp84.xml><?xml version="1.0" encoding="utf-8"?>
<formControlPr xmlns="http://schemas.microsoft.com/office/spreadsheetml/2009/9/main" objectType="Radio"/>
</file>

<file path=xl/ctrlProps/ctrlProp85.xml><?xml version="1.0" encoding="utf-8"?>
<formControlPr xmlns="http://schemas.microsoft.com/office/spreadsheetml/2009/9/main" objectType="Radio" firstButton="1" fmlaLink="$N$12" lockText="1"/>
</file>

<file path=xl/ctrlProps/ctrlProp86.xml><?xml version="1.0" encoding="utf-8"?>
<formControlPr xmlns="http://schemas.microsoft.com/office/spreadsheetml/2009/9/main" objectType="Radio" lockText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Radio" firstButton="1" fmlaLink="$N$20"/>
</file>

<file path=xl/ctrlProps/ctrlProp9.xml><?xml version="1.0" encoding="utf-8"?>
<formControlPr xmlns="http://schemas.microsoft.com/office/spreadsheetml/2009/9/main" objectType="Radio"/>
</file>

<file path=xl/ctrlProps/ctrlProp90.xml><?xml version="1.0" encoding="utf-8"?>
<formControlPr xmlns="http://schemas.microsoft.com/office/spreadsheetml/2009/9/main" objectType="Radio"/>
</file>

<file path=xl/ctrlProps/ctrlProp91.xml><?xml version="1.0" encoding="utf-8"?>
<formControlPr xmlns="http://schemas.microsoft.com/office/spreadsheetml/2009/9/main" objectType="Radio"/>
</file>

<file path=xl/ctrlProps/ctrlProp92.xml><?xml version="1.0" encoding="utf-8"?>
<formControlPr xmlns="http://schemas.microsoft.com/office/spreadsheetml/2009/9/main" objectType="Radio"/>
</file>

<file path=xl/ctrlProps/ctrlProp93.xml><?xml version="1.0" encoding="utf-8"?>
<formControlPr xmlns="http://schemas.microsoft.com/office/spreadsheetml/2009/9/main" objectType="Radio"/>
</file>

<file path=xl/ctrlProps/ctrlProp94.xml><?xml version="1.0" encoding="utf-8"?>
<formControlPr xmlns="http://schemas.microsoft.com/office/spreadsheetml/2009/9/main" objectType="Radio"/>
</file>

<file path=xl/ctrlProps/ctrlProp95.xml><?xml version="1.0" encoding="utf-8"?>
<formControlPr xmlns="http://schemas.microsoft.com/office/spreadsheetml/2009/9/main" objectType="Radio"/>
</file>

<file path=xl/ctrlProps/ctrlProp96.xml><?xml version="1.0" encoding="utf-8"?>
<formControlPr xmlns="http://schemas.microsoft.com/office/spreadsheetml/2009/9/main" objectType="Radio"/>
</file>

<file path=xl/ctrlProps/ctrlProp97.xml><?xml version="1.0" encoding="utf-8"?>
<formControlPr xmlns="http://schemas.microsoft.com/office/spreadsheetml/2009/9/main" objectType="Radio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fmlaLink="$N$8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0.emf"/><Relationship Id="rId18" Type="http://schemas.openxmlformats.org/officeDocument/2006/relationships/image" Target="../media/image155.emf"/><Relationship Id="rId26" Type="http://schemas.openxmlformats.org/officeDocument/2006/relationships/image" Target="../media/image163.emf"/><Relationship Id="rId39" Type="http://schemas.openxmlformats.org/officeDocument/2006/relationships/image" Target="../media/image172.emf"/><Relationship Id="rId21" Type="http://schemas.openxmlformats.org/officeDocument/2006/relationships/image" Target="../media/image158.emf"/><Relationship Id="rId34" Type="http://schemas.openxmlformats.org/officeDocument/2006/relationships/image" Target="../media/image136.emf"/><Relationship Id="rId42" Type="http://schemas.openxmlformats.org/officeDocument/2006/relationships/image" Target="../media/image175.emf"/><Relationship Id="rId47" Type="http://schemas.openxmlformats.org/officeDocument/2006/relationships/image" Target="../media/image180.emf"/><Relationship Id="rId50" Type="http://schemas.openxmlformats.org/officeDocument/2006/relationships/image" Target="../media/image183.emf"/><Relationship Id="rId55" Type="http://schemas.openxmlformats.org/officeDocument/2006/relationships/image" Target="../media/image188.emf"/><Relationship Id="rId7" Type="http://schemas.openxmlformats.org/officeDocument/2006/relationships/image" Target="../media/image144.emf"/><Relationship Id="rId2" Type="http://schemas.openxmlformats.org/officeDocument/2006/relationships/image" Target="../media/image97.jpeg"/><Relationship Id="rId16" Type="http://schemas.openxmlformats.org/officeDocument/2006/relationships/image" Target="../media/image153.emf"/><Relationship Id="rId20" Type="http://schemas.openxmlformats.org/officeDocument/2006/relationships/image" Target="../media/image157.emf"/><Relationship Id="rId29" Type="http://schemas.openxmlformats.org/officeDocument/2006/relationships/image" Target="../media/image166.jpeg"/><Relationship Id="rId41" Type="http://schemas.openxmlformats.org/officeDocument/2006/relationships/image" Target="../media/image174.emf"/><Relationship Id="rId54" Type="http://schemas.openxmlformats.org/officeDocument/2006/relationships/image" Target="../media/image187.emf"/><Relationship Id="rId1" Type="http://schemas.openxmlformats.org/officeDocument/2006/relationships/image" Target="../media/image10.png"/><Relationship Id="rId6" Type="http://schemas.openxmlformats.org/officeDocument/2006/relationships/image" Target="../media/image143.emf"/><Relationship Id="rId11" Type="http://schemas.openxmlformats.org/officeDocument/2006/relationships/image" Target="../media/image148.emf"/><Relationship Id="rId24" Type="http://schemas.openxmlformats.org/officeDocument/2006/relationships/image" Target="../media/image161.emf"/><Relationship Id="rId32" Type="http://schemas.openxmlformats.org/officeDocument/2006/relationships/image" Target="../media/image169.jpeg"/><Relationship Id="rId37" Type="http://schemas.openxmlformats.org/officeDocument/2006/relationships/image" Target="../media/image170.emf"/><Relationship Id="rId40" Type="http://schemas.openxmlformats.org/officeDocument/2006/relationships/image" Target="../media/image173.emf"/><Relationship Id="rId45" Type="http://schemas.openxmlformats.org/officeDocument/2006/relationships/image" Target="../media/image178.emf"/><Relationship Id="rId53" Type="http://schemas.openxmlformats.org/officeDocument/2006/relationships/image" Target="../media/image186.emf"/><Relationship Id="rId58" Type="http://schemas.openxmlformats.org/officeDocument/2006/relationships/image" Target="../media/image191.emf"/><Relationship Id="rId5" Type="http://schemas.openxmlformats.org/officeDocument/2006/relationships/image" Target="../media/image120.emf"/><Relationship Id="rId15" Type="http://schemas.openxmlformats.org/officeDocument/2006/relationships/image" Target="../media/image152.emf"/><Relationship Id="rId23" Type="http://schemas.openxmlformats.org/officeDocument/2006/relationships/image" Target="../media/image160.emf"/><Relationship Id="rId28" Type="http://schemas.openxmlformats.org/officeDocument/2006/relationships/image" Target="../media/image165.emf"/><Relationship Id="rId36" Type="http://schemas.openxmlformats.org/officeDocument/2006/relationships/image" Target="../media/image138.emf"/><Relationship Id="rId49" Type="http://schemas.openxmlformats.org/officeDocument/2006/relationships/image" Target="../media/image182.emf"/><Relationship Id="rId57" Type="http://schemas.openxmlformats.org/officeDocument/2006/relationships/image" Target="../media/image190.emf"/><Relationship Id="rId61" Type="http://schemas.openxmlformats.org/officeDocument/2006/relationships/image" Target="../media/image31.jpeg"/><Relationship Id="rId10" Type="http://schemas.openxmlformats.org/officeDocument/2006/relationships/image" Target="../media/image147.emf"/><Relationship Id="rId19" Type="http://schemas.openxmlformats.org/officeDocument/2006/relationships/image" Target="../media/image156.emf"/><Relationship Id="rId31" Type="http://schemas.openxmlformats.org/officeDocument/2006/relationships/image" Target="../media/image168.jpeg"/><Relationship Id="rId44" Type="http://schemas.openxmlformats.org/officeDocument/2006/relationships/image" Target="../media/image177.jpeg"/><Relationship Id="rId52" Type="http://schemas.openxmlformats.org/officeDocument/2006/relationships/image" Target="../media/image185.emf"/><Relationship Id="rId60" Type="http://schemas.openxmlformats.org/officeDocument/2006/relationships/image" Target="../media/image193.jpeg"/><Relationship Id="rId4" Type="http://schemas.openxmlformats.org/officeDocument/2006/relationships/image" Target="../media/image68.emf"/><Relationship Id="rId9" Type="http://schemas.openxmlformats.org/officeDocument/2006/relationships/image" Target="../media/image146.emf"/><Relationship Id="rId14" Type="http://schemas.openxmlformats.org/officeDocument/2006/relationships/image" Target="../media/image151.emf"/><Relationship Id="rId22" Type="http://schemas.openxmlformats.org/officeDocument/2006/relationships/image" Target="../media/image159.emf"/><Relationship Id="rId27" Type="http://schemas.openxmlformats.org/officeDocument/2006/relationships/image" Target="../media/image164.emf"/><Relationship Id="rId30" Type="http://schemas.openxmlformats.org/officeDocument/2006/relationships/image" Target="../media/image167.jpeg"/><Relationship Id="rId35" Type="http://schemas.openxmlformats.org/officeDocument/2006/relationships/image" Target="../media/image137.emf"/><Relationship Id="rId43" Type="http://schemas.openxmlformats.org/officeDocument/2006/relationships/image" Target="../media/image176.emf"/><Relationship Id="rId48" Type="http://schemas.openxmlformats.org/officeDocument/2006/relationships/image" Target="../media/image181.emf"/><Relationship Id="rId56" Type="http://schemas.openxmlformats.org/officeDocument/2006/relationships/image" Target="../media/image189.emf"/><Relationship Id="rId8" Type="http://schemas.openxmlformats.org/officeDocument/2006/relationships/image" Target="../media/image145.emf"/><Relationship Id="rId51" Type="http://schemas.openxmlformats.org/officeDocument/2006/relationships/image" Target="../media/image184.jpeg"/><Relationship Id="rId3" Type="http://schemas.openxmlformats.org/officeDocument/2006/relationships/image" Target="../media/image121.jpeg"/><Relationship Id="rId12" Type="http://schemas.openxmlformats.org/officeDocument/2006/relationships/image" Target="../media/image149.jpeg"/><Relationship Id="rId17" Type="http://schemas.openxmlformats.org/officeDocument/2006/relationships/image" Target="../media/image154.emf"/><Relationship Id="rId25" Type="http://schemas.openxmlformats.org/officeDocument/2006/relationships/image" Target="../media/image162.emf"/><Relationship Id="rId33" Type="http://schemas.openxmlformats.org/officeDocument/2006/relationships/image" Target="../media/image135.emf"/><Relationship Id="rId38" Type="http://schemas.openxmlformats.org/officeDocument/2006/relationships/image" Target="../media/image171.emf"/><Relationship Id="rId46" Type="http://schemas.openxmlformats.org/officeDocument/2006/relationships/image" Target="../media/image179.emf"/><Relationship Id="rId59" Type="http://schemas.openxmlformats.org/officeDocument/2006/relationships/image" Target="../media/image192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9" Type="http://schemas.openxmlformats.org/officeDocument/2006/relationships/image" Target="../media/image59.jpeg"/><Relationship Id="rId3" Type="http://schemas.openxmlformats.org/officeDocument/2006/relationships/image" Target="../media/image23.jpeg"/><Relationship Id="rId21" Type="http://schemas.openxmlformats.org/officeDocument/2006/relationships/image" Target="../media/image41.jpeg"/><Relationship Id="rId34" Type="http://schemas.openxmlformats.org/officeDocument/2006/relationships/image" Target="../media/image54.jpeg"/><Relationship Id="rId42" Type="http://schemas.openxmlformats.org/officeDocument/2006/relationships/image" Target="../media/image62.jpeg"/><Relationship Id="rId47" Type="http://schemas.openxmlformats.org/officeDocument/2006/relationships/image" Target="../media/image67.jpeg"/><Relationship Id="rId50" Type="http://schemas.openxmlformats.org/officeDocument/2006/relationships/image" Target="../media/image70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3.jpeg"/><Relationship Id="rId38" Type="http://schemas.openxmlformats.org/officeDocument/2006/relationships/image" Target="../media/image58.jpeg"/><Relationship Id="rId46" Type="http://schemas.openxmlformats.org/officeDocument/2006/relationships/image" Target="../media/image66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29" Type="http://schemas.openxmlformats.org/officeDocument/2006/relationships/image" Target="../media/image49.jpeg"/><Relationship Id="rId41" Type="http://schemas.openxmlformats.org/officeDocument/2006/relationships/image" Target="../media/image61.jpeg"/><Relationship Id="rId54" Type="http://schemas.openxmlformats.org/officeDocument/2006/relationships/image" Target="../media/image74.jpeg"/><Relationship Id="rId1" Type="http://schemas.openxmlformats.org/officeDocument/2006/relationships/image" Target="../media/image21.pn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4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40" Type="http://schemas.openxmlformats.org/officeDocument/2006/relationships/image" Target="../media/image60.jpeg"/><Relationship Id="rId45" Type="http://schemas.openxmlformats.org/officeDocument/2006/relationships/image" Target="../media/image65.jpeg"/><Relationship Id="rId53" Type="http://schemas.openxmlformats.org/officeDocument/2006/relationships/image" Target="../media/image73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jpeg"/><Relationship Id="rId36" Type="http://schemas.openxmlformats.org/officeDocument/2006/relationships/image" Target="../media/image56.jpeg"/><Relationship Id="rId49" Type="http://schemas.openxmlformats.org/officeDocument/2006/relationships/image" Target="../media/image69.emf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31" Type="http://schemas.openxmlformats.org/officeDocument/2006/relationships/image" Target="../media/image51.jpeg"/><Relationship Id="rId44" Type="http://schemas.openxmlformats.org/officeDocument/2006/relationships/image" Target="../media/image64.jpeg"/><Relationship Id="rId52" Type="http://schemas.openxmlformats.org/officeDocument/2006/relationships/image" Target="../media/image72.jpeg"/><Relationship Id="rId4" Type="http://schemas.openxmlformats.org/officeDocument/2006/relationships/image" Target="../media/image24.jpeg"/><Relationship Id="rId9" Type="http://schemas.openxmlformats.org/officeDocument/2006/relationships/image" Target="../media/image29.emf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Relationship Id="rId35" Type="http://schemas.openxmlformats.org/officeDocument/2006/relationships/image" Target="../media/image55.jpeg"/><Relationship Id="rId43" Type="http://schemas.openxmlformats.org/officeDocument/2006/relationships/image" Target="../media/image63.jpeg"/><Relationship Id="rId48" Type="http://schemas.openxmlformats.org/officeDocument/2006/relationships/image" Target="../media/image68.emf"/><Relationship Id="rId8" Type="http://schemas.openxmlformats.org/officeDocument/2006/relationships/image" Target="../media/image28.jpeg"/><Relationship Id="rId51" Type="http://schemas.openxmlformats.org/officeDocument/2006/relationships/image" Target="../media/image71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eg"/><Relationship Id="rId18" Type="http://schemas.openxmlformats.org/officeDocument/2006/relationships/image" Target="../media/image44.jpeg"/><Relationship Id="rId26" Type="http://schemas.openxmlformats.org/officeDocument/2006/relationships/image" Target="../media/image53.jpeg"/><Relationship Id="rId39" Type="http://schemas.openxmlformats.org/officeDocument/2006/relationships/image" Target="../media/image67.jpeg"/><Relationship Id="rId3" Type="http://schemas.openxmlformats.org/officeDocument/2006/relationships/image" Target="../media/image28.jpeg"/><Relationship Id="rId21" Type="http://schemas.openxmlformats.org/officeDocument/2006/relationships/image" Target="../media/image47.jpeg"/><Relationship Id="rId34" Type="http://schemas.openxmlformats.org/officeDocument/2006/relationships/image" Target="../media/image62.jpeg"/><Relationship Id="rId42" Type="http://schemas.openxmlformats.org/officeDocument/2006/relationships/image" Target="../media/image72.jpeg"/><Relationship Id="rId47" Type="http://schemas.openxmlformats.org/officeDocument/2006/relationships/image" Target="../media/image78.emf"/><Relationship Id="rId50" Type="http://schemas.openxmlformats.org/officeDocument/2006/relationships/image" Target="../media/image25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3.jpeg"/><Relationship Id="rId25" Type="http://schemas.openxmlformats.org/officeDocument/2006/relationships/image" Target="../media/image52.jpeg"/><Relationship Id="rId33" Type="http://schemas.openxmlformats.org/officeDocument/2006/relationships/image" Target="../media/image61.jpeg"/><Relationship Id="rId38" Type="http://schemas.openxmlformats.org/officeDocument/2006/relationships/image" Target="../media/image66.jpeg"/><Relationship Id="rId46" Type="http://schemas.openxmlformats.org/officeDocument/2006/relationships/image" Target="../media/image77.jpeg"/><Relationship Id="rId2" Type="http://schemas.openxmlformats.org/officeDocument/2006/relationships/image" Target="../media/image27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7.jpeg"/><Relationship Id="rId41" Type="http://schemas.openxmlformats.org/officeDocument/2006/relationships/image" Target="../media/image69.emf"/><Relationship Id="rId1" Type="http://schemas.openxmlformats.org/officeDocument/2006/relationships/image" Target="../media/image10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1.jpeg"/><Relationship Id="rId32" Type="http://schemas.openxmlformats.org/officeDocument/2006/relationships/image" Target="../media/image60.jpeg"/><Relationship Id="rId37" Type="http://schemas.openxmlformats.org/officeDocument/2006/relationships/image" Target="../media/image65.jpeg"/><Relationship Id="rId40" Type="http://schemas.openxmlformats.org/officeDocument/2006/relationships/image" Target="../media/image68.emf"/><Relationship Id="rId45" Type="http://schemas.openxmlformats.org/officeDocument/2006/relationships/image" Target="../media/image76.jpeg"/><Relationship Id="rId5" Type="http://schemas.openxmlformats.org/officeDocument/2006/relationships/image" Target="../media/image30.jpeg"/><Relationship Id="rId15" Type="http://schemas.openxmlformats.org/officeDocument/2006/relationships/image" Target="../media/image41.jpeg"/><Relationship Id="rId23" Type="http://schemas.openxmlformats.org/officeDocument/2006/relationships/image" Target="../media/image50.jpeg"/><Relationship Id="rId28" Type="http://schemas.openxmlformats.org/officeDocument/2006/relationships/image" Target="../media/image56.jpeg"/><Relationship Id="rId36" Type="http://schemas.openxmlformats.org/officeDocument/2006/relationships/image" Target="../media/image64.jpeg"/><Relationship Id="rId49" Type="http://schemas.openxmlformats.org/officeDocument/2006/relationships/image" Target="../media/image80.jpeg"/><Relationship Id="rId10" Type="http://schemas.openxmlformats.org/officeDocument/2006/relationships/image" Target="../media/image35.jpeg"/><Relationship Id="rId19" Type="http://schemas.openxmlformats.org/officeDocument/2006/relationships/image" Target="../media/image45.jpeg"/><Relationship Id="rId31" Type="http://schemas.openxmlformats.org/officeDocument/2006/relationships/image" Target="../media/image59.jpeg"/><Relationship Id="rId44" Type="http://schemas.openxmlformats.org/officeDocument/2006/relationships/image" Target="../media/image75.jpeg"/><Relationship Id="rId4" Type="http://schemas.openxmlformats.org/officeDocument/2006/relationships/image" Target="../media/image29.emf"/><Relationship Id="rId9" Type="http://schemas.openxmlformats.org/officeDocument/2006/relationships/image" Target="../media/image34.jpeg"/><Relationship Id="rId14" Type="http://schemas.openxmlformats.org/officeDocument/2006/relationships/image" Target="../media/image40.jpeg"/><Relationship Id="rId22" Type="http://schemas.openxmlformats.org/officeDocument/2006/relationships/image" Target="../media/image49.jpeg"/><Relationship Id="rId27" Type="http://schemas.openxmlformats.org/officeDocument/2006/relationships/image" Target="../media/image55.jpe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3.jpeg"/><Relationship Id="rId48" Type="http://schemas.openxmlformats.org/officeDocument/2006/relationships/image" Target="../media/image79.emf"/><Relationship Id="rId8" Type="http://schemas.openxmlformats.org/officeDocument/2006/relationships/image" Target="../media/image33.jpeg"/><Relationship Id="rId51" Type="http://schemas.openxmlformats.org/officeDocument/2006/relationships/image" Target="../media/image8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4.jpeg"/><Relationship Id="rId26" Type="http://schemas.openxmlformats.org/officeDocument/2006/relationships/image" Target="../media/image53.jpeg"/><Relationship Id="rId39" Type="http://schemas.openxmlformats.org/officeDocument/2006/relationships/image" Target="../media/image67.jpeg"/><Relationship Id="rId3" Type="http://schemas.openxmlformats.org/officeDocument/2006/relationships/image" Target="../media/image28.jpeg"/><Relationship Id="rId21" Type="http://schemas.openxmlformats.org/officeDocument/2006/relationships/image" Target="../media/image47.jpeg"/><Relationship Id="rId34" Type="http://schemas.openxmlformats.org/officeDocument/2006/relationships/image" Target="../media/image62.jpeg"/><Relationship Id="rId42" Type="http://schemas.openxmlformats.org/officeDocument/2006/relationships/image" Target="../media/image72.jpeg"/><Relationship Id="rId47" Type="http://schemas.openxmlformats.org/officeDocument/2006/relationships/image" Target="../media/image84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3.jpeg"/><Relationship Id="rId25" Type="http://schemas.openxmlformats.org/officeDocument/2006/relationships/image" Target="../media/image52.jpeg"/><Relationship Id="rId33" Type="http://schemas.openxmlformats.org/officeDocument/2006/relationships/image" Target="../media/image61.jpeg"/><Relationship Id="rId38" Type="http://schemas.openxmlformats.org/officeDocument/2006/relationships/image" Target="../media/image66.jpeg"/><Relationship Id="rId46" Type="http://schemas.openxmlformats.org/officeDocument/2006/relationships/image" Target="../media/image76.jpeg"/><Relationship Id="rId2" Type="http://schemas.openxmlformats.org/officeDocument/2006/relationships/image" Target="../media/image27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7.jpeg"/><Relationship Id="rId41" Type="http://schemas.openxmlformats.org/officeDocument/2006/relationships/image" Target="../media/image69.emf"/><Relationship Id="rId1" Type="http://schemas.openxmlformats.org/officeDocument/2006/relationships/image" Target="../media/image10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1.jpeg"/><Relationship Id="rId32" Type="http://schemas.openxmlformats.org/officeDocument/2006/relationships/image" Target="../media/image60.jpeg"/><Relationship Id="rId37" Type="http://schemas.openxmlformats.org/officeDocument/2006/relationships/image" Target="../media/image65.jpeg"/><Relationship Id="rId40" Type="http://schemas.openxmlformats.org/officeDocument/2006/relationships/image" Target="../media/image68.emf"/><Relationship Id="rId45" Type="http://schemas.openxmlformats.org/officeDocument/2006/relationships/image" Target="../media/image83.jpeg"/><Relationship Id="rId5" Type="http://schemas.openxmlformats.org/officeDocument/2006/relationships/image" Target="../media/image30.jpeg"/><Relationship Id="rId15" Type="http://schemas.openxmlformats.org/officeDocument/2006/relationships/image" Target="../media/image41.jpeg"/><Relationship Id="rId23" Type="http://schemas.openxmlformats.org/officeDocument/2006/relationships/image" Target="../media/image50.jpeg"/><Relationship Id="rId28" Type="http://schemas.openxmlformats.org/officeDocument/2006/relationships/image" Target="../media/image56.jpeg"/><Relationship Id="rId36" Type="http://schemas.openxmlformats.org/officeDocument/2006/relationships/image" Target="../media/image64.jpeg"/><Relationship Id="rId10" Type="http://schemas.openxmlformats.org/officeDocument/2006/relationships/image" Target="../media/image35.jpeg"/><Relationship Id="rId19" Type="http://schemas.openxmlformats.org/officeDocument/2006/relationships/image" Target="../media/image45.jpeg"/><Relationship Id="rId31" Type="http://schemas.openxmlformats.org/officeDocument/2006/relationships/image" Target="../media/image59.jpeg"/><Relationship Id="rId44" Type="http://schemas.openxmlformats.org/officeDocument/2006/relationships/image" Target="../media/image75.jpeg"/><Relationship Id="rId4" Type="http://schemas.openxmlformats.org/officeDocument/2006/relationships/image" Target="../media/image29.emf"/><Relationship Id="rId9" Type="http://schemas.openxmlformats.org/officeDocument/2006/relationships/image" Target="../media/image34.jpeg"/><Relationship Id="rId14" Type="http://schemas.openxmlformats.org/officeDocument/2006/relationships/image" Target="../media/image40.jpeg"/><Relationship Id="rId22" Type="http://schemas.openxmlformats.org/officeDocument/2006/relationships/image" Target="../media/image49.jpeg"/><Relationship Id="rId27" Type="http://schemas.openxmlformats.org/officeDocument/2006/relationships/image" Target="../media/image55.jpe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eg"/><Relationship Id="rId18" Type="http://schemas.openxmlformats.org/officeDocument/2006/relationships/image" Target="../media/image44.jpeg"/><Relationship Id="rId26" Type="http://schemas.openxmlformats.org/officeDocument/2006/relationships/image" Target="../media/image53.jpeg"/><Relationship Id="rId39" Type="http://schemas.openxmlformats.org/officeDocument/2006/relationships/image" Target="../media/image67.jpeg"/><Relationship Id="rId3" Type="http://schemas.openxmlformats.org/officeDocument/2006/relationships/image" Target="../media/image28.jpeg"/><Relationship Id="rId21" Type="http://schemas.openxmlformats.org/officeDocument/2006/relationships/image" Target="../media/image47.jpeg"/><Relationship Id="rId34" Type="http://schemas.openxmlformats.org/officeDocument/2006/relationships/image" Target="../media/image62.jpeg"/><Relationship Id="rId42" Type="http://schemas.openxmlformats.org/officeDocument/2006/relationships/image" Target="../media/image72.jpeg"/><Relationship Id="rId47" Type="http://schemas.openxmlformats.org/officeDocument/2006/relationships/image" Target="../media/image87.jpeg"/><Relationship Id="rId50" Type="http://schemas.openxmlformats.org/officeDocument/2006/relationships/image" Target="../media/image90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3.jpeg"/><Relationship Id="rId25" Type="http://schemas.openxmlformats.org/officeDocument/2006/relationships/image" Target="../media/image52.jpeg"/><Relationship Id="rId33" Type="http://schemas.openxmlformats.org/officeDocument/2006/relationships/image" Target="../media/image61.jpeg"/><Relationship Id="rId38" Type="http://schemas.openxmlformats.org/officeDocument/2006/relationships/image" Target="../media/image66.jpeg"/><Relationship Id="rId46" Type="http://schemas.openxmlformats.org/officeDocument/2006/relationships/image" Target="../media/image86.jpeg"/><Relationship Id="rId2" Type="http://schemas.openxmlformats.org/officeDocument/2006/relationships/image" Target="../media/image27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7.jpeg"/><Relationship Id="rId41" Type="http://schemas.openxmlformats.org/officeDocument/2006/relationships/image" Target="../media/image69.emf"/><Relationship Id="rId1" Type="http://schemas.openxmlformats.org/officeDocument/2006/relationships/image" Target="../media/image10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1.jpeg"/><Relationship Id="rId32" Type="http://schemas.openxmlformats.org/officeDocument/2006/relationships/image" Target="../media/image60.jpeg"/><Relationship Id="rId37" Type="http://schemas.openxmlformats.org/officeDocument/2006/relationships/image" Target="../media/image65.jpeg"/><Relationship Id="rId40" Type="http://schemas.openxmlformats.org/officeDocument/2006/relationships/image" Target="../media/image68.emf"/><Relationship Id="rId45" Type="http://schemas.openxmlformats.org/officeDocument/2006/relationships/image" Target="../media/image85.jpeg"/><Relationship Id="rId5" Type="http://schemas.openxmlformats.org/officeDocument/2006/relationships/image" Target="../media/image30.jpeg"/><Relationship Id="rId15" Type="http://schemas.openxmlformats.org/officeDocument/2006/relationships/image" Target="../media/image41.jpeg"/><Relationship Id="rId23" Type="http://schemas.openxmlformats.org/officeDocument/2006/relationships/image" Target="../media/image50.jpeg"/><Relationship Id="rId28" Type="http://schemas.openxmlformats.org/officeDocument/2006/relationships/image" Target="../media/image56.jpeg"/><Relationship Id="rId36" Type="http://schemas.openxmlformats.org/officeDocument/2006/relationships/image" Target="../media/image64.jpeg"/><Relationship Id="rId49" Type="http://schemas.openxmlformats.org/officeDocument/2006/relationships/image" Target="../media/image89.jpeg"/><Relationship Id="rId10" Type="http://schemas.openxmlformats.org/officeDocument/2006/relationships/image" Target="../media/image35.jpeg"/><Relationship Id="rId19" Type="http://schemas.openxmlformats.org/officeDocument/2006/relationships/image" Target="../media/image45.jpeg"/><Relationship Id="rId31" Type="http://schemas.openxmlformats.org/officeDocument/2006/relationships/image" Target="../media/image59.jpeg"/><Relationship Id="rId44" Type="http://schemas.openxmlformats.org/officeDocument/2006/relationships/image" Target="../media/image75.jpeg"/><Relationship Id="rId4" Type="http://schemas.openxmlformats.org/officeDocument/2006/relationships/image" Target="../media/image29.emf"/><Relationship Id="rId9" Type="http://schemas.openxmlformats.org/officeDocument/2006/relationships/image" Target="../media/image34.jpeg"/><Relationship Id="rId14" Type="http://schemas.openxmlformats.org/officeDocument/2006/relationships/image" Target="../media/image40.jpeg"/><Relationship Id="rId22" Type="http://schemas.openxmlformats.org/officeDocument/2006/relationships/image" Target="../media/image49.jpeg"/><Relationship Id="rId27" Type="http://schemas.openxmlformats.org/officeDocument/2006/relationships/image" Target="../media/image55.jpe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3.jpeg"/><Relationship Id="rId48" Type="http://schemas.openxmlformats.org/officeDocument/2006/relationships/image" Target="../media/image88.jpeg"/><Relationship Id="rId8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eg"/><Relationship Id="rId18" Type="http://schemas.openxmlformats.org/officeDocument/2006/relationships/image" Target="../media/image44.jpeg"/><Relationship Id="rId26" Type="http://schemas.openxmlformats.org/officeDocument/2006/relationships/image" Target="../media/image53.jpeg"/><Relationship Id="rId39" Type="http://schemas.openxmlformats.org/officeDocument/2006/relationships/image" Target="../media/image67.jpeg"/><Relationship Id="rId3" Type="http://schemas.openxmlformats.org/officeDocument/2006/relationships/image" Target="../media/image28.jpeg"/><Relationship Id="rId21" Type="http://schemas.openxmlformats.org/officeDocument/2006/relationships/image" Target="../media/image47.jpeg"/><Relationship Id="rId34" Type="http://schemas.openxmlformats.org/officeDocument/2006/relationships/image" Target="../media/image62.jpeg"/><Relationship Id="rId42" Type="http://schemas.openxmlformats.org/officeDocument/2006/relationships/image" Target="../media/image72.jpeg"/><Relationship Id="rId47" Type="http://schemas.openxmlformats.org/officeDocument/2006/relationships/image" Target="../media/image87.jpeg"/><Relationship Id="rId50" Type="http://schemas.openxmlformats.org/officeDocument/2006/relationships/image" Target="../media/image91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3.jpeg"/><Relationship Id="rId25" Type="http://schemas.openxmlformats.org/officeDocument/2006/relationships/image" Target="../media/image52.jpeg"/><Relationship Id="rId33" Type="http://schemas.openxmlformats.org/officeDocument/2006/relationships/image" Target="../media/image61.jpeg"/><Relationship Id="rId38" Type="http://schemas.openxmlformats.org/officeDocument/2006/relationships/image" Target="../media/image66.jpeg"/><Relationship Id="rId46" Type="http://schemas.openxmlformats.org/officeDocument/2006/relationships/image" Target="../media/image86.jpeg"/><Relationship Id="rId2" Type="http://schemas.openxmlformats.org/officeDocument/2006/relationships/image" Target="../media/image27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7.jpeg"/><Relationship Id="rId41" Type="http://schemas.openxmlformats.org/officeDocument/2006/relationships/image" Target="../media/image69.emf"/><Relationship Id="rId1" Type="http://schemas.openxmlformats.org/officeDocument/2006/relationships/image" Target="../media/image10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1.jpeg"/><Relationship Id="rId32" Type="http://schemas.openxmlformats.org/officeDocument/2006/relationships/image" Target="../media/image60.jpeg"/><Relationship Id="rId37" Type="http://schemas.openxmlformats.org/officeDocument/2006/relationships/image" Target="../media/image65.jpeg"/><Relationship Id="rId40" Type="http://schemas.openxmlformats.org/officeDocument/2006/relationships/image" Target="../media/image68.emf"/><Relationship Id="rId45" Type="http://schemas.openxmlformats.org/officeDocument/2006/relationships/image" Target="../media/image85.jpeg"/><Relationship Id="rId5" Type="http://schemas.openxmlformats.org/officeDocument/2006/relationships/image" Target="../media/image30.jpeg"/><Relationship Id="rId15" Type="http://schemas.openxmlformats.org/officeDocument/2006/relationships/image" Target="../media/image41.jpeg"/><Relationship Id="rId23" Type="http://schemas.openxmlformats.org/officeDocument/2006/relationships/image" Target="../media/image50.jpeg"/><Relationship Id="rId28" Type="http://schemas.openxmlformats.org/officeDocument/2006/relationships/image" Target="../media/image56.jpeg"/><Relationship Id="rId36" Type="http://schemas.openxmlformats.org/officeDocument/2006/relationships/image" Target="../media/image64.jpeg"/><Relationship Id="rId49" Type="http://schemas.openxmlformats.org/officeDocument/2006/relationships/image" Target="../media/image89.jpeg"/><Relationship Id="rId10" Type="http://schemas.openxmlformats.org/officeDocument/2006/relationships/image" Target="../media/image35.jpeg"/><Relationship Id="rId19" Type="http://schemas.openxmlformats.org/officeDocument/2006/relationships/image" Target="../media/image45.jpeg"/><Relationship Id="rId31" Type="http://schemas.openxmlformats.org/officeDocument/2006/relationships/image" Target="../media/image59.jpeg"/><Relationship Id="rId44" Type="http://schemas.openxmlformats.org/officeDocument/2006/relationships/image" Target="../media/image75.jpeg"/><Relationship Id="rId4" Type="http://schemas.openxmlformats.org/officeDocument/2006/relationships/image" Target="../media/image29.emf"/><Relationship Id="rId9" Type="http://schemas.openxmlformats.org/officeDocument/2006/relationships/image" Target="../media/image34.jpeg"/><Relationship Id="rId14" Type="http://schemas.openxmlformats.org/officeDocument/2006/relationships/image" Target="../media/image40.jpeg"/><Relationship Id="rId22" Type="http://schemas.openxmlformats.org/officeDocument/2006/relationships/image" Target="../media/image49.jpeg"/><Relationship Id="rId27" Type="http://schemas.openxmlformats.org/officeDocument/2006/relationships/image" Target="../media/image55.jpe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3.jpeg"/><Relationship Id="rId48" Type="http://schemas.openxmlformats.org/officeDocument/2006/relationships/image" Target="../media/image88.jpeg"/><Relationship Id="rId8" Type="http://schemas.openxmlformats.org/officeDocument/2006/relationships/image" Target="../media/image33.jpeg"/><Relationship Id="rId51" Type="http://schemas.openxmlformats.org/officeDocument/2006/relationships/image" Target="../media/image9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18" Type="http://schemas.openxmlformats.org/officeDocument/2006/relationships/image" Target="../media/image44.jpeg"/><Relationship Id="rId26" Type="http://schemas.openxmlformats.org/officeDocument/2006/relationships/image" Target="../media/image53.jpeg"/><Relationship Id="rId39" Type="http://schemas.openxmlformats.org/officeDocument/2006/relationships/image" Target="../media/image67.jpeg"/><Relationship Id="rId3" Type="http://schemas.openxmlformats.org/officeDocument/2006/relationships/image" Target="../media/image28.jpeg"/><Relationship Id="rId21" Type="http://schemas.openxmlformats.org/officeDocument/2006/relationships/image" Target="../media/image47.jpeg"/><Relationship Id="rId34" Type="http://schemas.openxmlformats.org/officeDocument/2006/relationships/image" Target="../media/image62.jpeg"/><Relationship Id="rId42" Type="http://schemas.openxmlformats.org/officeDocument/2006/relationships/image" Target="../media/image72.jpeg"/><Relationship Id="rId47" Type="http://schemas.openxmlformats.org/officeDocument/2006/relationships/image" Target="../media/image94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17" Type="http://schemas.openxmlformats.org/officeDocument/2006/relationships/image" Target="../media/image43.jpeg"/><Relationship Id="rId25" Type="http://schemas.openxmlformats.org/officeDocument/2006/relationships/image" Target="../media/image52.jpeg"/><Relationship Id="rId33" Type="http://schemas.openxmlformats.org/officeDocument/2006/relationships/image" Target="../media/image61.jpeg"/><Relationship Id="rId38" Type="http://schemas.openxmlformats.org/officeDocument/2006/relationships/image" Target="../media/image66.jpeg"/><Relationship Id="rId46" Type="http://schemas.openxmlformats.org/officeDocument/2006/relationships/image" Target="../media/image93.jpeg"/><Relationship Id="rId2" Type="http://schemas.openxmlformats.org/officeDocument/2006/relationships/image" Target="../media/image27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7.jpeg"/><Relationship Id="rId41" Type="http://schemas.openxmlformats.org/officeDocument/2006/relationships/image" Target="../media/image69.emf"/><Relationship Id="rId1" Type="http://schemas.openxmlformats.org/officeDocument/2006/relationships/image" Target="../media/image10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51.jpeg"/><Relationship Id="rId32" Type="http://schemas.openxmlformats.org/officeDocument/2006/relationships/image" Target="../media/image60.jpeg"/><Relationship Id="rId37" Type="http://schemas.openxmlformats.org/officeDocument/2006/relationships/image" Target="../media/image65.jpeg"/><Relationship Id="rId40" Type="http://schemas.openxmlformats.org/officeDocument/2006/relationships/image" Target="../media/image68.emf"/><Relationship Id="rId45" Type="http://schemas.openxmlformats.org/officeDocument/2006/relationships/image" Target="../media/image76.jpeg"/><Relationship Id="rId5" Type="http://schemas.openxmlformats.org/officeDocument/2006/relationships/image" Target="../media/image30.jpeg"/><Relationship Id="rId15" Type="http://schemas.openxmlformats.org/officeDocument/2006/relationships/image" Target="../media/image41.jpeg"/><Relationship Id="rId23" Type="http://schemas.openxmlformats.org/officeDocument/2006/relationships/image" Target="../media/image50.jpeg"/><Relationship Id="rId28" Type="http://schemas.openxmlformats.org/officeDocument/2006/relationships/image" Target="../media/image56.jpeg"/><Relationship Id="rId36" Type="http://schemas.openxmlformats.org/officeDocument/2006/relationships/image" Target="../media/image64.jpeg"/><Relationship Id="rId10" Type="http://schemas.openxmlformats.org/officeDocument/2006/relationships/image" Target="../media/image35.jpeg"/><Relationship Id="rId19" Type="http://schemas.openxmlformats.org/officeDocument/2006/relationships/image" Target="../media/image45.jpeg"/><Relationship Id="rId31" Type="http://schemas.openxmlformats.org/officeDocument/2006/relationships/image" Target="../media/image59.jpeg"/><Relationship Id="rId44" Type="http://schemas.openxmlformats.org/officeDocument/2006/relationships/image" Target="../media/image75.jpeg"/><Relationship Id="rId4" Type="http://schemas.openxmlformats.org/officeDocument/2006/relationships/image" Target="../media/image29.emf"/><Relationship Id="rId9" Type="http://schemas.openxmlformats.org/officeDocument/2006/relationships/image" Target="../media/image34.jpeg"/><Relationship Id="rId14" Type="http://schemas.openxmlformats.org/officeDocument/2006/relationships/image" Target="../media/image40.jpeg"/><Relationship Id="rId22" Type="http://schemas.openxmlformats.org/officeDocument/2006/relationships/image" Target="../media/image49.jpeg"/><Relationship Id="rId27" Type="http://schemas.openxmlformats.org/officeDocument/2006/relationships/image" Target="../media/image55.jpeg"/><Relationship Id="rId30" Type="http://schemas.openxmlformats.org/officeDocument/2006/relationships/image" Target="../media/image58.jpeg"/><Relationship Id="rId35" Type="http://schemas.openxmlformats.org/officeDocument/2006/relationships/image" Target="../media/image63.jpeg"/><Relationship Id="rId43" Type="http://schemas.openxmlformats.org/officeDocument/2006/relationships/image" Target="../media/image73.jpeg"/><Relationship Id="rId48" Type="http://schemas.openxmlformats.org/officeDocument/2006/relationships/image" Target="../media/image9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13" Type="http://schemas.openxmlformats.org/officeDocument/2006/relationships/image" Target="../media/image107.jpeg"/><Relationship Id="rId18" Type="http://schemas.openxmlformats.org/officeDocument/2006/relationships/image" Target="../media/image112.jpeg"/><Relationship Id="rId26" Type="http://schemas.openxmlformats.org/officeDocument/2006/relationships/image" Target="../media/image119.jpeg"/><Relationship Id="rId3" Type="http://schemas.openxmlformats.org/officeDocument/2006/relationships/image" Target="../media/image97.jpeg"/><Relationship Id="rId21" Type="http://schemas.openxmlformats.org/officeDocument/2006/relationships/image" Target="../media/image115.jpeg"/><Relationship Id="rId7" Type="http://schemas.openxmlformats.org/officeDocument/2006/relationships/image" Target="../media/image101.jpeg"/><Relationship Id="rId12" Type="http://schemas.openxmlformats.org/officeDocument/2006/relationships/image" Target="../media/image106.jpeg"/><Relationship Id="rId17" Type="http://schemas.openxmlformats.org/officeDocument/2006/relationships/image" Target="../media/image111.jpeg"/><Relationship Id="rId25" Type="http://schemas.openxmlformats.org/officeDocument/2006/relationships/image" Target="../media/image67.jpeg"/><Relationship Id="rId2" Type="http://schemas.openxmlformats.org/officeDocument/2006/relationships/image" Target="../media/image96.jpeg"/><Relationship Id="rId16" Type="http://schemas.openxmlformats.org/officeDocument/2006/relationships/image" Target="../media/image110.jpeg"/><Relationship Id="rId20" Type="http://schemas.openxmlformats.org/officeDocument/2006/relationships/image" Target="../media/image114.jpeg"/><Relationship Id="rId29" Type="http://schemas.openxmlformats.org/officeDocument/2006/relationships/image" Target="../media/image121.jpeg"/><Relationship Id="rId1" Type="http://schemas.openxmlformats.org/officeDocument/2006/relationships/image" Target="../media/image10.png"/><Relationship Id="rId6" Type="http://schemas.openxmlformats.org/officeDocument/2006/relationships/image" Target="../media/image100.jpeg"/><Relationship Id="rId11" Type="http://schemas.openxmlformats.org/officeDocument/2006/relationships/image" Target="../media/image105.jpeg"/><Relationship Id="rId24" Type="http://schemas.openxmlformats.org/officeDocument/2006/relationships/image" Target="../media/image118.jpeg"/><Relationship Id="rId32" Type="http://schemas.openxmlformats.org/officeDocument/2006/relationships/image" Target="../media/image122.jpeg"/><Relationship Id="rId5" Type="http://schemas.openxmlformats.org/officeDocument/2006/relationships/image" Target="../media/image99.jpeg"/><Relationship Id="rId15" Type="http://schemas.openxmlformats.org/officeDocument/2006/relationships/image" Target="../media/image109.jpeg"/><Relationship Id="rId23" Type="http://schemas.openxmlformats.org/officeDocument/2006/relationships/image" Target="../media/image117.jpeg"/><Relationship Id="rId28" Type="http://schemas.openxmlformats.org/officeDocument/2006/relationships/image" Target="../media/image120.emf"/><Relationship Id="rId10" Type="http://schemas.openxmlformats.org/officeDocument/2006/relationships/image" Target="../media/image104.jpeg"/><Relationship Id="rId19" Type="http://schemas.openxmlformats.org/officeDocument/2006/relationships/image" Target="../media/image113.jpeg"/><Relationship Id="rId31" Type="http://schemas.openxmlformats.org/officeDocument/2006/relationships/image" Target="../media/image64.jpeg"/><Relationship Id="rId4" Type="http://schemas.openxmlformats.org/officeDocument/2006/relationships/image" Target="../media/image98.jpeg"/><Relationship Id="rId9" Type="http://schemas.openxmlformats.org/officeDocument/2006/relationships/image" Target="../media/image103.jpeg"/><Relationship Id="rId14" Type="http://schemas.openxmlformats.org/officeDocument/2006/relationships/image" Target="../media/image108.jpeg"/><Relationship Id="rId22" Type="http://schemas.openxmlformats.org/officeDocument/2006/relationships/image" Target="../media/image116.jpeg"/><Relationship Id="rId27" Type="http://schemas.openxmlformats.org/officeDocument/2006/relationships/image" Target="../media/image68.emf"/><Relationship Id="rId30" Type="http://schemas.openxmlformats.org/officeDocument/2006/relationships/image" Target="../media/image46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13" Type="http://schemas.openxmlformats.org/officeDocument/2006/relationships/image" Target="../media/image135.emf"/><Relationship Id="rId3" Type="http://schemas.openxmlformats.org/officeDocument/2006/relationships/image" Target="../media/image125.jpeg"/><Relationship Id="rId7" Type="http://schemas.openxmlformats.org/officeDocument/2006/relationships/image" Target="../media/image129.jpeg"/><Relationship Id="rId12" Type="http://schemas.openxmlformats.org/officeDocument/2006/relationships/image" Target="../media/image134.jpeg"/><Relationship Id="rId17" Type="http://schemas.openxmlformats.org/officeDocument/2006/relationships/image" Target="../media/image139.jpeg"/><Relationship Id="rId2" Type="http://schemas.openxmlformats.org/officeDocument/2006/relationships/image" Target="../media/image124.jpeg"/><Relationship Id="rId16" Type="http://schemas.openxmlformats.org/officeDocument/2006/relationships/image" Target="../media/image138.emf"/><Relationship Id="rId1" Type="http://schemas.openxmlformats.org/officeDocument/2006/relationships/image" Target="../media/image10.png"/><Relationship Id="rId6" Type="http://schemas.openxmlformats.org/officeDocument/2006/relationships/image" Target="../media/image128.jpeg"/><Relationship Id="rId11" Type="http://schemas.openxmlformats.org/officeDocument/2006/relationships/image" Target="../media/image133.jpeg"/><Relationship Id="rId5" Type="http://schemas.openxmlformats.org/officeDocument/2006/relationships/image" Target="../media/image127.jpeg"/><Relationship Id="rId15" Type="http://schemas.openxmlformats.org/officeDocument/2006/relationships/image" Target="../media/image137.emf"/><Relationship Id="rId10" Type="http://schemas.openxmlformats.org/officeDocument/2006/relationships/image" Target="../media/image132.jpeg"/><Relationship Id="rId4" Type="http://schemas.openxmlformats.org/officeDocument/2006/relationships/image" Target="../media/image126.jpeg"/><Relationship Id="rId9" Type="http://schemas.openxmlformats.org/officeDocument/2006/relationships/image" Target="../media/image131.jpeg"/><Relationship Id="rId14" Type="http://schemas.openxmlformats.org/officeDocument/2006/relationships/image" Target="../media/image136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emf"/><Relationship Id="rId2" Type="http://schemas.openxmlformats.org/officeDocument/2006/relationships/image" Target="../media/image123.emf"/><Relationship Id="rId1" Type="http://schemas.openxmlformats.org/officeDocument/2006/relationships/image" Target="../media/image140.emf"/><Relationship Id="rId4" Type="http://schemas.openxmlformats.org/officeDocument/2006/relationships/image" Target="../media/image142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346115</xdr:colOff>
      <xdr:row>10</xdr:row>
      <xdr:rowOff>27749</xdr:rowOff>
    </xdr:from>
    <xdr:ext cx="214420" cy="142583"/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094674"/>
          <a:ext cx="214420" cy="14258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10</xdr:row>
          <xdr:rowOff>19050</xdr:rowOff>
        </xdr:from>
        <xdr:to>
          <xdr:col>6</xdr:col>
          <xdr:colOff>609600</xdr:colOff>
          <xdr:row>10</xdr:row>
          <xdr:rowOff>171450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11</xdr:row>
          <xdr:rowOff>19050</xdr:rowOff>
        </xdr:from>
        <xdr:to>
          <xdr:col>6</xdr:col>
          <xdr:colOff>609600</xdr:colOff>
          <xdr:row>11</xdr:row>
          <xdr:rowOff>171450</xdr:rowOff>
        </xdr:to>
        <xdr:sp macro="" textlink="">
          <xdr:nvSpPr>
            <xdr:cNvPr id="2059" name="Option Butto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344978</xdr:colOff>
      <xdr:row>2</xdr:row>
      <xdr:rowOff>28323</xdr:rowOff>
    </xdr:from>
    <xdr:to>
      <xdr:col>5</xdr:col>
      <xdr:colOff>46846</xdr:colOff>
      <xdr:row>2</xdr:row>
      <xdr:rowOff>158436</xdr:rowOff>
    </xdr:to>
    <xdr:pic>
      <xdr:nvPicPr>
        <xdr:cNvPr id="3" name="Grafik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678" y="571248"/>
          <a:ext cx="216218" cy="130113"/>
        </a:xfrm>
        <a:prstGeom prst="rect">
          <a:avLst/>
        </a:prstGeom>
      </xdr:spPr>
    </xdr:pic>
    <xdr:clientData/>
  </xdr:twoCellAnchor>
  <xdr:twoCellAnchor editAs="oneCell">
    <xdr:from>
      <xdr:col>4</xdr:col>
      <xdr:colOff>345196</xdr:colOff>
      <xdr:row>3</xdr:row>
      <xdr:rowOff>26809</xdr:rowOff>
    </xdr:from>
    <xdr:to>
      <xdr:col>5</xdr:col>
      <xdr:colOff>46846</xdr:colOff>
      <xdr:row>3</xdr:row>
      <xdr:rowOff>170809</xdr:rowOff>
    </xdr:to>
    <xdr:pic>
      <xdr:nvPicPr>
        <xdr:cNvPr id="4" name="Grafik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196" y="760931"/>
          <a:ext cx="216000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4</xdr:row>
      <xdr:rowOff>31457</xdr:rowOff>
    </xdr:from>
    <xdr:to>
      <xdr:col>5</xdr:col>
      <xdr:colOff>46846</xdr:colOff>
      <xdr:row>4</xdr:row>
      <xdr:rowOff>175285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9553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5</xdr:row>
      <xdr:rowOff>31457</xdr:rowOff>
    </xdr:from>
    <xdr:to>
      <xdr:col>5</xdr:col>
      <xdr:colOff>46846</xdr:colOff>
      <xdr:row>5</xdr:row>
      <xdr:rowOff>175285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145882"/>
          <a:ext cx="215742" cy="143828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6</xdr:row>
      <xdr:rowOff>31615</xdr:rowOff>
    </xdr:from>
    <xdr:to>
      <xdr:col>5</xdr:col>
      <xdr:colOff>46846</xdr:colOff>
      <xdr:row>6</xdr:row>
      <xdr:rowOff>175126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454" y="1336540"/>
          <a:ext cx="215742" cy="143511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7</xdr:row>
      <xdr:rowOff>26617</xdr:rowOff>
    </xdr:from>
    <xdr:to>
      <xdr:col>5</xdr:col>
      <xdr:colOff>46846</xdr:colOff>
      <xdr:row>7</xdr:row>
      <xdr:rowOff>170617</xdr:rowOff>
    </xdr:to>
    <xdr:pic>
      <xdr:nvPicPr>
        <xdr:cNvPr id="25" name="Grafik 24"/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522739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345454</xdr:colOff>
      <xdr:row>8</xdr:row>
      <xdr:rowOff>26520</xdr:rowOff>
    </xdr:from>
    <xdr:to>
      <xdr:col>5</xdr:col>
      <xdr:colOff>46846</xdr:colOff>
      <xdr:row>8</xdr:row>
      <xdr:rowOff>170520</xdr:rowOff>
    </xdr:to>
    <xdr:pic>
      <xdr:nvPicPr>
        <xdr:cNvPr id="26" name="Grafik 25"/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942" y="1713142"/>
          <a:ext cx="217136" cy="14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346115</xdr:colOff>
      <xdr:row>9</xdr:row>
      <xdr:rowOff>27285</xdr:rowOff>
    </xdr:from>
    <xdr:to>
      <xdr:col>5</xdr:col>
      <xdr:colOff>46185</xdr:colOff>
      <xdr:row>9</xdr:row>
      <xdr:rowOff>170796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603" y="1904407"/>
          <a:ext cx="215814" cy="14351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2</xdr:row>
          <xdr:rowOff>19050</xdr:rowOff>
        </xdr:from>
        <xdr:to>
          <xdr:col>6</xdr:col>
          <xdr:colOff>609600</xdr:colOff>
          <xdr:row>2</xdr:row>
          <xdr:rowOff>171450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</xdr:row>
          <xdr:rowOff>19050</xdr:rowOff>
        </xdr:from>
        <xdr:to>
          <xdr:col>6</xdr:col>
          <xdr:colOff>609600</xdr:colOff>
          <xdr:row>3</xdr:row>
          <xdr:rowOff>171450</xdr:rowOff>
        </xdr:to>
        <xdr:sp macro="" textlink="">
          <xdr:nvSpPr>
            <xdr:cNvPr id="2051" name="Option Butto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4</xdr:row>
          <xdr:rowOff>19050</xdr:rowOff>
        </xdr:from>
        <xdr:to>
          <xdr:col>6</xdr:col>
          <xdr:colOff>609600</xdr:colOff>
          <xdr:row>4</xdr:row>
          <xdr:rowOff>171450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5</xdr:row>
          <xdr:rowOff>28575</xdr:rowOff>
        </xdr:from>
        <xdr:to>
          <xdr:col>6</xdr:col>
          <xdr:colOff>609600</xdr:colOff>
          <xdr:row>5</xdr:row>
          <xdr:rowOff>180975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6</xdr:row>
          <xdr:rowOff>19050</xdr:rowOff>
        </xdr:from>
        <xdr:to>
          <xdr:col>6</xdr:col>
          <xdr:colOff>609600</xdr:colOff>
          <xdr:row>6</xdr:row>
          <xdr:rowOff>171450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7</xdr:row>
          <xdr:rowOff>19050</xdr:rowOff>
        </xdr:from>
        <xdr:to>
          <xdr:col>6</xdr:col>
          <xdr:colOff>609600</xdr:colOff>
          <xdr:row>7</xdr:row>
          <xdr:rowOff>171450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8</xdr:row>
          <xdr:rowOff>19050</xdr:rowOff>
        </xdr:from>
        <xdr:to>
          <xdr:col>6</xdr:col>
          <xdr:colOff>609600</xdr:colOff>
          <xdr:row>8</xdr:row>
          <xdr:rowOff>171450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9</xdr:row>
          <xdr:rowOff>19050</xdr:rowOff>
        </xdr:from>
        <xdr:to>
          <xdr:col>6</xdr:col>
          <xdr:colOff>609600</xdr:colOff>
          <xdr:row>9</xdr:row>
          <xdr:rowOff>171450</xdr:rowOff>
        </xdr:to>
        <xdr:sp macro="" textlink="">
          <xdr:nvSpPr>
            <xdr:cNvPr id="2057" name="Option Butto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133350</xdr:rowOff>
    </xdr:from>
    <xdr:to>
      <xdr:col>2</xdr:col>
      <xdr:colOff>484118</xdr:colOff>
      <xdr:row>6</xdr:row>
      <xdr:rowOff>123825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350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</xdr:col>
      <xdr:colOff>513521</xdr:colOff>
      <xdr:row>17</xdr:row>
      <xdr:rowOff>0</xdr:rowOff>
    </xdr:from>
    <xdr:to>
      <xdr:col>12</xdr:col>
      <xdr:colOff>195146</xdr:colOff>
      <xdr:row>18</xdr:row>
      <xdr:rowOff>57978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28261"/>
        <a:stretch/>
      </xdr:blipFill>
      <xdr:spPr>
        <a:xfrm>
          <a:off x="761999" y="2070652"/>
          <a:ext cx="5135218" cy="248478"/>
        </a:xfrm>
        <a:prstGeom prst="rect">
          <a:avLst/>
        </a:prstGeom>
      </xdr:spPr>
    </xdr:pic>
    <xdr:clientData/>
  </xdr:twoCellAnchor>
  <xdr:twoCellAnchor editAs="oneCell">
    <xdr:from>
      <xdr:col>2</xdr:col>
      <xdr:colOff>3501</xdr:colOff>
      <xdr:row>25</xdr:row>
      <xdr:rowOff>190500</xdr:rowOff>
    </xdr:from>
    <xdr:to>
      <xdr:col>2</xdr:col>
      <xdr:colOff>194687</xdr:colOff>
      <xdr:row>27</xdr:row>
      <xdr:rowOff>0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1247" t="14708" r="8294" b="18372"/>
        <a:stretch/>
      </xdr:blipFill>
      <xdr:spPr>
        <a:xfrm>
          <a:off x="1027439" y="3970734"/>
          <a:ext cx="191186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30</xdr:row>
      <xdr:rowOff>0</xdr:rowOff>
    </xdr:from>
    <xdr:to>
      <xdr:col>4</xdr:col>
      <xdr:colOff>1141</xdr:colOff>
      <xdr:row>33</xdr:row>
      <xdr:rowOff>56989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7043" y="4737652"/>
          <a:ext cx="1027044" cy="628489"/>
        </a:xfrm>
        <a:prstGeom prst="rect">
          <a:avLst/>
        </a:prstGeom>
      </xdr:spPr>
    </xdr:pic>
    <xdr:clientData/>
  </xdr:twoCellAnchor>
  <xdr:twoCellAnchor editAs="oneCell">
    <xdr:from>
      <xdr:col>1</xdr:col>
      <xdr:colOff>513521</xdr:colOff>
      <xdr:row>36</xdr:row>
      <xdr:rowOff>0</xdr:rowOff>
    </xdr:from>
    <xdr:to>
      <xdr:col>12</xdr:col>
      <xdr:colOff>192922</xdr:colOff>
      <xdr:row>37</xdr:row>
      <xdr:rowOff>98948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1999" y="7976152"/>
          <a:ext cx="5135217" cy="2894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12</xdr:col>
      <xdr:colOff>195146</xdr:colOff>
      <xdr:row>42</xdr:row>
      <xdr:rowOff>182146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0" y="8738152"/>
          <a:ext cx="5135217" cy="5631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6</xdr:col>
      <xdr:colOff>193506</xdr:colOff>
      <xdr:row>56</xdr:row>
      <xdr:rowOff>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0" y="9881152"/>
          <a:ext cx="1933863" cy="1905000"/>
        </a:xfrm>
        <a:prstGeom prst="rect">
          <a:avLst/>
        </a:prstGeom>
      </xdr:spPr>
    </xdr:pic>
    <xdr:clientData/>
  </xdr:twoCellAnchor>
  <xdr:oneCellAnchor>
    <xdr:from>
      <xdr:col>4</xdr:col>
      <xdr:colOff>346115</xdr:colOff>
      <xdr:row>11</xdr:row>
      <xdr:rowOff>45435</xdr:rowOff>
    </xdr:from>
    <xdr:ext cx="214420" cy="107210"/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304221"/>
          <a:ext cx="214420" cy="10721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12</xdr:row>
          <xdr:rowOff>19050</xdr:rowOff>
        </xdr:from>
        <xdr:to>
          <xdr:col>6</xdr:col>
          <xdr:colOff>609600</xdr:colOff>
          <xdr:row>12</xdr:row>
          <xdr:rowOff>171450</xdr:rowOff>
        </xdr:to>
        <xdr:sp macro="" textlink="">
          <xdr:nvSpPr>
            <xdr:cNvPr id="2060" name="Option Butto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12</xdr:row>
      <xdr:rowOff>45435</xdr:rowOff>
    </xdr:from>
    <xdr:ext cx="216000" cy="108000"/>
    <xdr:pic>
      <xdr:nvPicPr>
        <xdr:cNvPr id="31" name="Grafik 30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5454" y="2494721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13</xdr:row>
          <xdr:rowOff>19050</xdr:rowOff>
        </xdr:from>
        <xdr:to>
          <xdr:col>6</xdr:col>
          <xdr:colOff>609600</xdr:colOff>
          <xdr:row>13</xdr:row>
          <xdr:rowOff>171450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13</xdr:row>
      <xdr:rowOff>42033</xdr:rowOff>
    </xdr:from>
    <xdr:ext cx="216000" cy="108000"/>
    <xdr:pic>
      <xdr:nvPicPr>
        <xdr:cNvPr id="33" name="Grafik 32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680458"/>
          <a:ext cx="216000" cy="1080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14</xdr:row>
          <xdr:rowOff>19050</xdr:rowOff>
        </xdr:from>
        <xdr:to>
          <xdr:col>6</xdr:col>
          <xdr:colOff>609600</xdr:colOff>
          <xdr:row>14</xdr:row>
          <xdr:rowOff>171450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4</xdr:col>
      <xdr:colOff>346115</xdr:colOff>
      <xdr:row>14</xdr:row>
      <xdr:rowOff>41601</xdr:rowOff>
    </xdr:from>
    <xdr:ext cx="216000" cy="107346"/>
    <xdr:pic>
      <xdr:nvPicPr>
        <xdr:cNvPr id="35" name="Grafik 34"/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815" y="2870526"/>
          <a:ext cx="216000" cy="10734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419100</xdr:colOff>
          <xdr:row>8</xdr:row>
          <xdr:rowOff>0</xdr:rowOff>
        </xdr:to>
        <xdr:sp macro="" textlink="">
          <xdr:nvSpPr>
            <xdr:cNvPr id="1031" name="Group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419100</xdr:colOff>
          <xdr:row>20</xdr:row>
          <xdr:rowOff>0</xdr:rowOff>
        </xdr:to>
        <xdr:sp macro="" textlink="">
          <xdr:nvSpPr>
            <xdr:cNvPr id="1033" name="Group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419100</xdr:colOff>
          <xdr:row>12</xdr:row>
          <xdr:rowOff>0</xdr:rowOff>
        </xdr:to>
        <xdr:sp macro="" textlink="">
          <xdr:nvSpPr>
            <xdr:cNvPr id="1080" name="Group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1088" name="Option Button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171450</xdr:colOff>
          <xdr:row>15</xdr:row>
          <xdr:rowOff>0</xdr:rowOff>
        </xdr:to>
        <xdr:sp macro="" textlink="">
          <xdr:nvSpPr>
            <xdr:cNvPr id="1091" name="Option Button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171450</xdr:colOff>
          <xdr:row>16</xdr:row>
          <xdr:rowOff>0</xdr:rowOff>
        </xdr:to>
        <xdr:sp macro="" textlink="">
          <xdr:nvSpPr>
            <xdr:cNvPr id="1092" name="Option Button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171450</xdr:colOff>
          <xdr:row>17</xdr:row>
          <xdr:rowOff>0</xdr:rowOff>
        </xdr:to>
        <xdr:sp macro="" textlink="">
          <xdr:nvSpPr>
            <xdr:cNvPr id="1093" name="Option Button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171450</xdr:colOff>
          <xdr:row>18</xdr:row>
          <xdr:rowOff>0</xdr:rowOff>
        </xdr:to>
        <xdr:sp macro="" textlink="">
          <xdr:nvSpPr>
            <xdr:cNvPr id="1094" name="Option Butto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171450</xdr:colOff>
          <xdr:row>19</xdr:row>
          <xdr:rowOff>0</xdr:rowOff>
        </xdr:to>
        <xdr:sp macro="" textlink="">
          <xdr:nvSpPr>
            <xdr:cNvPr id="1095" name="Option Butto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171450</xdr:colOff>
          <xdr:row>20</xdr:row>
          <xdr:rowOff>0</xdr:rowOff>
        </xdr:to>
        <xdr:sp macro="" textlink="">
          <xdr:nvSpPr>
            <xdr:cNvPr id="1096" name="Option Button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14</xdr:row>
          <xdr:rowOff>19050</xdr:rowOff>
        </xdr:from>
        <xdr:to>
          <xdr:col>8</xdr:col>
          <xdr:colOff>809625</xdr:colOff>
          <xdr:row>15</xdr:row>
          <xdr:rowOff>0</xdr:rowOff>
        </xdr:to>
        <xdr:sp macro="" textlink="">
          <xdr:nvSpPr>
            <xdr:cNvPr id="1098" name="Option Butto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15</xdr:row>
          <xdr:rowOff>19050</xdr:rowOff>
        </xdr:from>
        <xdr:to>
          <xdr:col>8</xdr:col>
          <xdr:colOff>809625</xdr:colOff>
          <xdr:row>16</xdr:row>
          <xdr:rowOff>0</xdr:rowOff>
        </xdr:to>
        <xdr:sp macro="" textlink="">
          <xdr:nvSpPr>
            <xdr:cNvPr id="1099" name="Option Butto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16</xdr:row>
          <xdr:rowOff>19050</xdr:rowOff>
        </xdr:from>
        <xdr:to>
          <xdr:col>8</xdr:col>
          <xdr:colOff>809625</xdr:colOff>
          <xdr:row>17</xdr:row>
          <xdr:rowOff>0</xdr:rowOff>
        </xdr:to>
        <xdr:sp macro="" textlink="">
          <xdr:nvSpPr>
            <xdr:cNvPr id="1100" name="Option Butto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17</xdr:row>
          <xdr:rowOff>19050</xdr:rowOff>
        </xdr:from>
        <xdr:to>
          <xdr:col>8</xdr:col>
          <xdr:colOff>809625</xdr:colOff>
          <xdr:row>18</xdr:row>
          <xdr:rowOff>0</xdr:rowOff>
        </xdr:to>
        <xdr:sp macro="" textlink="">
          <xdr:nvSpPr>
            <xdr:cNvPr id="1101" name="Option Butto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18</xdr:row>
          <xdr:rowOff>19050</xdr:rowOff>
        </xdr:from>
        <xdr:to>
          <xdr:col>8</xdr:col>
          <xdr:colOff>809625</xdr:colOff>
          <xdr:row>19</xdr:row>
          <xdr:rowOff>0</xdr:rowOff>
        </xdr:to>
        <xdr:sp macro="" textlink="">
          <xdr:nvSpPr>
            <xdr:cNvPr id="1102" name="Option Button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19</xdr:row>
          <xdr:rowOff>19050</xdr:rowOff>
        </xdr:from>
        <xdr:to>
          <xdr:col>8</xdr:col>
          <xdr:colOff>809625</xdr:colOff>
          <xdr:row>20</xdr:row>
          <xdr:rowOff>0</xdr:rowOff>
        </xdr:to>
        <xdr:sp macro="" textlink="">
          <xdr:nvSpPr>
            <xdr:cNvPr id="1103" name="Option Butto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188878</xdr:colOff>
      <xdr:row>97</xdr:row>
      <xdr:rowOff>62001</xdr:rowOff>
    </xdr:from>
    <xdr:to>
      <xdr:col>2</xdr:col>
      <xdr:colOff>598633</xdr:colOff>
      <xdr:row>97</xdr:row>
      <xdr:rowOff>361260</xdr:rowOff>
    </xdr:to>
    <xdr:pic>
      <xdr:nvPicPr>
        <xdr:cNvPr id="53" name="Grafik 4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84278" y="32656551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188878</xdr:colOff>
      <xdr:row>98</xdr:row>
      <xdr:rowOff>62001</xdr:rowOff>
    </xdr:from>
    <xdr:to>
      <xdr:col>2</xdr:col>
      <xdr:colOff>598633</xdr:colOff>
      <xdr:row>98</xdr:row>
      <xdr:rowOff>361260</xdr:rowOff>
    </xdr:to>
    <xdr:pic>
      <xdr:nvPicPr>
        <xdr:cNvPr id="54" name="Grafik 4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84278" y="33056601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188878</xdr:colOff>
      <xdr:row>96</xdr:row>
      <xdr:rowOff>62001</xdr:rowOff>
    </xdr:from>
    <xdr:to>
      <xdr:col>2</xdr:col>
      <xdr:colOff>598633</xdr:colOff>
      <xdr:row>96</xdr:row>
      <xdr:rowOff>361260</xdr:rowOff>
    </xdr:to>
    <xdr:pic>
      <xdr:nvPicPr>
        <xdr:cNvPr id="55" name="Grafik 4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84278" y="32256501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172059</xdr:colOff>
      <xdr:row>99</xdr:row>
      <xdr:rowOff>59784</xdr:rowOff>
    </xdr:from>
    <xdr:to>
      <xdr:col>2</xdr:col>
      <xdr:colOff>621965</xdr:colOff>
      <xdr:row>99</xdr:row>
      <xdr:rowOff>359721</xdr:rowOff>
    </xdr:to>
    <xdr:pic>
      <xdr:nvPicPr>
        <xdr:cNvPr id="56" name="Grafik 6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459" y="33454434"/>
          <a:ext cx="449906" cy="29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155845</xdr:colOff>
      <xdr:row>94</xdr:row>
      <xdr:rowOff>112476</xdr:rowOff>
    </xdr:from>
    <xdr:to>
      <xdr:col>2</xdr:col>
      <xdr:colOff>642228</xdr:colOff>
      <xdr:row>94</xdr:row>
      <xdr:rowOff>319189</xdr:rowOff>
    </xdr:to>
    <xdr:grpSp>
      <xdr:nvGrpSpPr>
        <xdr:cNvPr id="57" name="Gruppieren 74"/>
        <xdr:cNvGrpSpPr>
          <a:grpSpLocks/>
        </xdr:cNvGrpSpPr>
      </xdr:nvGrpSpPr>
      <xdr:grpSpPr bwMode="auto">
        <a:xfrm>
          <a:off x="1451245" y="31906926"/>
          <a:ext cx="486383" cy="206713"/>
          <a:chOff x="1849755" y="26461853"/>
          <a:chExt cx="741045" cy="307205"/>
        </a:xfrm>
      </xdr:grpSpPr>
      <xdr:pic>
        <xdr:nvPicPr>
          <xdr:cNvPr id="58" name="Grafik 7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" name="Rechteck 76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285548</xdr:colOff>
      <xdr:row>95</xdr:row>
      <xdr:rowOff>63838</xdr:rowOff>
    </xdr:from>
    <xdr:to>
      <xdr:col>2</xdr:col>
      <xdr:colOff>497977</xdr:colOff>
      <xdr:row>95</xdr:row>
      <xdr:rowOff>359721</xdr:rowOff>
    </xdr:to>
    <xdr:pic>
      <xdr:nvPicPr>
        <xdr:cNvPr id="60" name="Grafik 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3" t="5556" r="37392" b="31746"/>
        <a:stretch>
          <a:fillRect/>
        </a:stretch>
      </xdr:blipFill>
      <xdr:spPr bwMode="auto">
        <a:xfrm>
          <a:off x="1580948" y="31858288"/>
          <a:ext cx="212429" cy="295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211126</xdr:colOff>
      <xdr:row>31</xdr:row>
      <xdr:rowOff>60237</xdr:rowOff>
    </xdr:from>
    <xdr:to>
      <xdr:col>2</xdr:col>
      <xdr:colOff>566148</xdr:colOff>
      <xdr:row>31</xdr:row>
      <xdr:rowOff>360533</xdr:rowOff>
    </xdr:to>
    <xdr:pic>
      <xdr:nvPicPr>
        <xdr:cNvPr id="45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66" t="10468" r="7520" b="12721"/>
        <a:stretch>
          <a:fillRect/>
        </a:stretch>
      </xdr:blipFill>
      <xdr:spPr bwMode="auto">
        <a:xfrm>
          <a:off x="1506526" y="6651537"/>
          <a:ext cx="355022" cy="30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238402</xdr:colOff>
      <xdr:row>32</xdr:row>
      <xdr:rowOff>56284</xdr:rowOff>
    </xdr:from>
    <xdr:to>
      <xdr:col>2</xdr:col>
      <xdr:colOff>538873</xdr:colOff>
      <xdr:row>32</xdr:row>
      <xdr:rowOff>356755</xdr:rowOff>
    </xdr:to>
    <xdr:pic>
      <xdr:nvPicPr>
        <xdr:cNvPr id="46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3" r="18332"/>
        <a:stretch>
          <a:fillRect/>
        </a:stretch>
      </xdr:blipFill>
      <xdr:spPr bwMode="auto">
        <a:xfrm>
          <a:off x="1533802" y="7047634"/>
          <a:ext cx="300471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232576</xdr:colOff>
      <xdr:row>33</xdr:row>
      <xdr:rowOff>67542</xdr:rowOff>
    </xdr:from>
    <xdr:to>
      <xdr:col>2</xdr:col>
      <xdr:colOff>544698</xdr:colOff>
      <xdr:row>33</xdr:row>
      <xdr:rowOff>355023</xdr:rowOff>
    </xdr:to>
    <xdr:pic>
      <xdr:nvPicPr>
        <xdr:cNvPr id="47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51" t="7893" r="9917"/>
        <a:stretch>
          <a:fillRect/>
        </a:stretch>
      </xdr:blipFill>
      <xdr:spPr bwMode="auto">
        <a:xfrm>
          <a:off x="1527976" y="7458942"/>
          <a:ext cx="312122" cy="28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265772</xdr:colOff>
      <xdr:row>34</xdr:row>
      <xdr:rowOff>60616</xdr:rowOff>
    </xdr:from>
    <xdr:to>
      <xdr:col>2</xdr:col>
      <xdr:colOff>511503</xdr:colOff>
      <xdr:row>34</xdr:row>
      <xdr:rowOff>363684</xdr:rowOff>
    </xdr:to>
    <xdr:pic>
      <xdr:nvPicPr>
        <xdr:cNvPr id="48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42" t="7825" r="27252" b="9261"/>
        <a:stretch>
          <a:fillRect/>
        </a:stretch>
      </xdr:blipFill>
      <xdr:spPr bwMode="auto">
        <a:xfrm>
          <a:off x="1561172" y="7852066"/>
          <a:ext cx="245731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218100</xdr:colOff>
      <xdr:row>35</xdr:row>
      <xdr:rowOff>58882</xdr:rowOff>
    </xdr:from>
    <xdr:to>
      <xdr:col>2</xdr:col>
      <xdr:colOff>559175</xdr:colOff>
      <xdr:row>35</xdr:row>
      <xdr:rowOff>359353</xdr:rowOff>
    </xdr:to>
    <xdr:pic>
      <xdr:nvPicPr>
        <xdr:cNvPr id="49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5534" r="14815"/>
        <a:stretch>
          <a:fillRect/>
        </a:stretch>
      </xdr:blipFill>
      <xdr:spPr bwMode="auto">
        <a:xfrm>
          <a:off x="1513500" y="8250382"/>
          <a:ext cx="341075" cy="300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184716</xdr:colOff>
      <xdr:row>37</xdr:row>
      <xdr:rowOff>65809</xdr:rowOff>
    </xdr:from>
    <xdr:to>
      <xdr:col>2</xdr:col>
      <xdr:colOff>592559</xdr:colOff>
      <xdr:row>37</xdr:row>
      <xdr:rowOff>354698</xdr:rowOff>
    </xdr:to>
    <xdr:pic>
      <xdr:nvPicPr>
        <xdr:cNvPr id="50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1" t="12106" r="13847"/>
        <a:stretch>
          <a:fillRect/>
        </a:stretch>
      </xdr:blipFill>
      <xdr:spPr bwMode="auto">
        <a:xfrm>
          <a:off x="1480116" y="9057409"/>
          <a:ext cx="407843" cy="28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179087</xdr:colOff>
      <xdr:row>36</xdr:row>
      <xdr:rowOff>73603</xdr:rowOff>
    </xdr:from>
    <xdr:to>
      <xdr:col>2</xdr:col>
      <xdr:colOff>598187</xdr:colOff>
      <xdr:row>36</xdr:row>
      <xdr:rowOff>340303</xdr:rowOff>
    </xdr:to>
    <xdr:pic>
      <xdr:nvPicPr>
        <xdr:cNvPr id="51" name="Grafik 14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28" t="28111" r="28397" b="32687"/>
        <a:stretch>
          <a:fillRect/>
        </a:stretch>
      </xdr:blipFill>
      <xdr:spPr bwMode="auto">
        <a:xfrm>
          <a:off x="1474487" y="8665153"/>
          <a:ext cx="419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124505</xdr:colOff>
      <xdr:row>38</xdr:row>
      <xdr:rowOff>68037</xdr:rowOff>
    </xdr:from>
    <xdr:to>
      <xdr:col>2</xdr:col>
      <xdr:colOff>652769</xdr:colOff>
      <xdr:row>38</xdr:row>
      <xdr:rowOff>350385</xdr:rowOff>
    </xdr:to>
    <xdr:pic>
      <xdr:nvPicPr>
        <xdr:cNvPr id="52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r="11108" b="21329"/>
        <a:stretch>
          <a:fillRect/>
        </a:stretch>
      </xdr:blipFill>
      <xdr:spPr bwMode="auto">
        <a:xfrm>
          <a:off x="1419905" y="9459687"/>
          <a:ext cx="528264" cy="28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131548</xdr:colOff>
      <xdr:row>39</xdr:row>
      <xdr:rowOff>61232</xdr:rowOff>
    </xdr:from>
    <xdr:to>
      <xdr:col>2</xdr:col>
      <xdr:colOff>645727</xdr:colOff>
      <xdr:row>39</xdr:row>
      <xdr:rowOff>357187</xdr:rowOff>
    </xdr:to>
    <xdr:pic>
      <xdr:nvPicPr>
        <xdr:cNvPr id="61" name="Grafik 1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6948" y="9852932"/>
          <a:ext cx="51417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128401</xdr:colOff>
      <xdr:row>40</xdr:row>
      <xdr:rowOff>64635</xdr:rowOff>
    </xdr:from>
    <xdr:to>
      <xdr:col>2</xdr:col>
      <xdr:colOff>648874</xdr:colOff>
      <xdr:row>40</xdr:row>
      <xdr:rowOff>356081</xdr:rowOff>
    </xdr:to>
    <xdr:pic>
      <xdr:nvPicPr>
        <xdr:cNvPr id="62" name="Grafik 1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2" t="8899" r="4395" b="13741"/>
        <a:stretch>
          <a:fillRect/>
        </a:stretch>
      </xdr:blipFill>
      <xdr:spPr bwMode="auto">
        <a:xfrm>
          <a:off x="1423801" y="10256385"/>
          <a:ext cx="520473" cy="291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266872</xdr:colOff>
      <xdr:row>41</xdr:row>
      <xdr:rowOff>64635</xdr:rowOff>
    </xdr:from>
    <xdr:to>
      <xdr:col>2</xdr:col>
      <xdr:colOff>510402</xdr:colOff>
      <xdr:row>41</xdr:row>
      <xdr:rowOff>357188</xdr:rowOff>
    </xdr:to>
    <xdr:pic>
      <xdr:nvPicPr>
        <xdr:cNvPr id="63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44" t="4237" r="33002" b="6599"/>
        <a:stretch>
          <a:fillRect/>
        </a:stretch>
      </xdr:blipFill>
      <xdr:spPr bwMode="auto">
        <a:xfrm>
          <a:off x="1562272" y="10656435"/>
          <a:ext cx="24353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235723</xdr:colOff>
      <xdr:row>42</xdr:row>
      <xdr:rowOff>64635</xdr:rowOff>
    </xdr:from>
    <xdr:to>
      <xdr:col>2</xdr:col>
      <xdr:colOff>541552</xdr:colOff>
      <xdr:row>42</xdr:row>
      <xdr:rowOff>360589</xdr:rowOff>
    </xdr:to>
    <xdr:pic>
      <xdr:nvPicPr>
        <xdr:cNvPr id="64" name="Grafik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6" t="5408" r="20920" b="6607"/>
        <a:stretch>
          <a:fillRect/>
        </a:stretch>
      </xdr:blipFill>
      <xdr:spPr bwMode="auto">
        <a:xfrm>
          <a:off x="1531123" y="11056485"/>
          <a:ext cx="305829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214485</xdr:colOff>
      <xdr:row>43</xdr:row>
      <xdr:rowOff>64635</xdr:rowOff>
    </xdr:from>
    <xdr:to>
      <xdr:col>2</xdr:col>
      <xdr:colOff>562789</xdr:colOff>
      <xdr:row>43</xdr:row>
      <xdr:rowOff>360590</xdr:rowOff>
    </xdr:to>
    <xdr:pic>
      <xdr:nvPicPr>
        <xdr:cNvPr id="65" name="Grafik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t="8432" r="11311" b="9721"/>
        <a:stretch>
          <a:fillRect/>
        </a:stretch>
      </xdr:blipFill>
      <xdr:spPr bwMode="auto">
        <a:xfrm>
          <a:off x="1509885" y="11456535"/>
          <a:ext cx="34830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180975</xdr:colOff>
          <xdr:row>45</xdr:row>
          <xdr:rowOff>66675</xdr:rowOff>
        </xdr:from>
        <xdr:to>
          <xdr:col>2</xdr:col>
          <xdr:colOff>600075</xdr:colOff>
          <xdr:row>45</xdr:row>
          <xdr:rowOff>352425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212855</xdr:colOff>
      <xdr:row>46</xdr:row>
      <xdr:rowOff>69583</xdr:rowOff>
    </xdr:from>
    <xdr:to>
      <xdr:col>2</xdr:col>
      <xdr:colOff>567051</xdr:colOff>
      <xdr:row>46</xdr:row>
      <xdr:rowOff>350384</xdr:rowOff>
    </xdr:to>
    <xdr:pic>
      <xdr:nvPicPr>
        <xdr:cNvPr id="66" name="Grafik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2" b="3056"/>
        <a:stretch>
          <a:fillRect/>
        </a:stretch>
      </xdr:blipFill>
      <xdr:spPr bwMode="auto">
        <a:xfrm>
          <a:off x="1508255" y="12261583"/>
          <a:ext cx="354196" cy="280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264483</xdr:colOff>
      <xdr:row>47</xdr:row>
      <xdr:rowOff>69584</xdr:rowOff>
    </xdr:from>
    <xdr:to>
      <xdr:col>2</xdr:col>
      <xdr:colOff>515424</xdr:colOff>
      <xdr:row>47</xdr:row>
      <xdr:rowOff>357188</xdr:rowOff>
    </xdr:to>
    <xdr:pic>
      <xdr:nvPicPr>
        <xdr:cNvPr id="67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8" t="10905" r="26917" b="6537"/>
        <a:stretch>
          <a:fillRect/>
        </a:stretch>
      </xdr:blipFill>
      <xdr:spPr bwMode="auto">
        <a:xfrm>
          <a:off x="1559883" y="12661634"/>
          <a:ext cx="250941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272592</xdr:colOff>
      <xdr:row>48</xdr:row>
      <xdr:rowOff>68037</xdr:rowOff>
    </xdr:from>
    <xdr:to>
      <xdr:col>2</xdr:col>
      <xdr:colOff>507315</xdr:colOff>
      <xdr:row>48</xdr:row>
      <xdr:rowOff>358104</xdr:rowOff>
    </xdr:to>
    <xdr:pic>
      <xdr:nvPicPr>
        <xdr:cNvPr id="68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5" r="26430" b="4977"/>
        <a:stretch>
          <a:fillRect/>
        </a:stretch>
      </xdr:blipFill>
      <xdr:spPr bwMode="auto">
        <a:xfrm>
          <a:off x="1567992" y="13060137"/>
          <a:ext cx="234723" cy="29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49</xdr:row>
      <xdr:rowOff>68037</xdr:rowOff>
    </xdr:from>
    <xdr:to>
      <xdr:col>2</xdr:col>
      <xdr:colOff>585556</xdr:colOff>
      <xdr:row>49</xdr:row>
      <xdr:rowOff>350607</xdr:rowOff>
    </xdr:to>
    <xdr:pic>
      <xdr:nvPicPr>
        <xdr:cNvPr id="69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46018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105904</xdr:colOff>
      <xdr:row>52</xdr:row>
      <xdr:rowOff>68037</xdr:rowOff>
    </xdr:from>
    <xdr:to>
      <xdr:col>2</xdr:col>
      <xdr:colOff>674002</xdr:colOff>
      <xdr:row>52</xdr:row>
      <xdr:rowOff>356222</xdr:rowOff>
    </xdr:to>
    <xdr:pic>
      <xdr:nvPicPr>
        <xdr:cNvPr id="70" name="Grafik 12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401304" y="14660337"/>
          <a:ext cx="568098" cy="288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</xdr:colOff>
      <xdr:row>53</xdr:row>
      <xdr:rowOff>64635</xdr:rowOff>
    </xdr:from>
    <xdr:to>
      <xdr:col>2</xdr:col>
      <xdr:colOff>678307</xdr:colOff>
      <xdr:row>53</xdr:row>
      <xdr:rowOff>357187</xdr:rowOff>
    </xdr:to>
    <xdr:pic>
      <xdr:nvPicPr>
        <xdr:cNvPr id="71" name="Grafik 12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0" t="15660" r="4929" b="-2"/>
        <a:stretch>
          <a:fillRect/>
        </a:stretch>
      </xdr:blipFill>
      <xdr:spPr bwMode="auto">
        <a:xfrm>
          <a:off x="1396999" y="15056985"/>
          <a:ext cx="576708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281494</xdr:colOff>
      <xdr:row>54</xdr:row>
      <xdr:rowOff>64635</xdr:rowOff>
    </xdr:from>
    <xdr:to>
      <xdr:col>2</xdr:col>
      <xdr:colOff>498413</xdr:colOff>
      <xdr:row>54</xdr:row>
      <xdr:rowOff>360590</xdr:rowOff>
    </xdr:to>
    <xdr:pic>
      <xdr:nvPicPr>
        <xdr:cNvPr id="72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9" t="3114" r="29077" b="7933"/>
        <a:stretch>
          <a:fillRect/>
        </a:stretch>
      </xdr:blipFill>
      <xdr:spPr bwMode="auto">
        <a:xfrm>
          <a:off x="1576894" y="15457035"/>
          <a:ext cx="216919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163218</xdr:colOff>
      <xdr:row>55</xdr:row>
      <xdr:rowOff>64635</xdr:rowOff>
    </xdr:from>
    <xdr:to>
      <xdr:col>2</xdr:col>
      <xdr:colOff>616688</xdr:colOff>
      <xdr:row>55</xdr:row>
      <xdr:rowOff>357188</xdr:rowOff>
    </xdr:to>
    <xdr:pic>
      <xdr:nvPicPr>
        <xdr:cNvPr id="73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618" y="15857085"/>
          <a:ext cx="453470" cy="29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80283</xdr:colOff>
      <xdr:row>56</xdr:row>
      <xdr:rowOff>64635</xdr:rowOff>
    </xdr:from>
    <xdr:to>
      <xdr:col>2</xdr:col>
      <xdr:colOff>699623</xdr:colOff>
      <xdr:row>56</xdr:row>
      <xdr:rowOff>350384</xdr:rowOff>
    </xdr:to>
    <xdr:pic>
      <xdr:nvPicPr>
        <xdr:cNvPr id="74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09" t="23206" r="15656" b="9187"/>
        <a:stretch>
          <a:fillRect/>
        </a:stretch>
      </xdr:blipFill>
      <xdr:spPr bwMode="auto">
        <a:xfrm>
          <a:off x="1375683" y="16257135"/>
          <a:ext cx="619340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245341</xdr:colOff>
      <xdr:row>57</xdr:row>
      <xdr:rowOff>64635</xdr:rowOff>
    </xdr:from>
    <xdr:to>
      <xdr:col>2</xdr:col>
      <xdr:colOff>534565</xdr:colOff>
      <xdr:row>57</xdr:row>
      <xdr:rowOff>360590</xdr:rowOff>
    </xdr:to>
    <xdr:pic>
      <xdr:nvPicPr>
        <xdr:cNvPr id="75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2188" b="7098"/>
        <a:stretch>
          <a:fillRect/>
        </a:stretch>
      </xdr:blipFill>
      <xdr:spPr bwMode="auto">
        <a:xfrm>
          <a:off x="1540741" y="16657185"/>
          <a:ext cx="289224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245378</xdr:colOff>
      <xdr:row>58</xdr:row>
      <xdr:rowOff>66180</xdr:rowOff>
    </xdr:from>
    <xdr:to>
      <xdr:col>2</xdr:col>
      <xdr:colOff>534529</xdr:colOff>
      <xdr:row>58</xdr:row>
      <xdr:rowOff>360911</xdr:rowOff>
    </xdr:to>
    <xdr:pic>
      <xdr:nvPicPr>
        <xdr:cNvPr id="76" name="Grafik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2" t="11278" r="19684" b="9023"/>
        <a:stretch>
          <a:fillRect/>
        </a:stretch>
      </xdr:blipFill>
      <xdr:spPr bwMode="auto">
        <a:xfrm>
          <a:off x="1540778" y="17058780"/>
          <a:ext cx="289151" cy="294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182445</xdr:colOff>
      <xdr:row>59</xdr:row>
      <xdr:rowOff>66181</xdr:rowOff>
    </xdr:from>
    <xdr:to>
      <xdr:col>2</xdr:col>
      <xdr:colOff>597462</xdr:colOff>
      <xdr:row>59</xdr:row>
      <xdr:rowOff>356492</xdr:rowOff>
    </xdr:to>
    <xdr:pic>
      <xdr:nvPicPr>
        <xdr:cNvPr id="77" name="Grafik 3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1" b="15266"/>
        <a:stretch>
          <a:fillRect/>
        </a:stretch>
      </xdr:blipFill>
      <xdr:spPr bwMode="auto">
        <a:xfrm>
          <a:off x="1477845" y="17458831"/>
          <a:ext cx="415017" cy="2903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190949</xdr:colOff>
      <xdr:row>60</xdr:row>
      <xdr:rowOff>66183</xdr:rowOff>
    </xdr:from>
    <xdr:to>
      <xdr:col>2</xdr:col>
      <xdr:colOff>588958</xdr:colOff>
      <xdr:row>60</xdr:row>
      <xdr:rowOff>361997</xdr:rowOff>
    </xdr:to>
    <xdr:pic>
      <xdr:nvPicPr>
        <xdr:cNvPr id="78" name="Grafik 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349" y="17858883"/>
          <a:ext cx="398009" cy="295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192650</xdr:colOff>
      <xdr:row>61</xdr:row>
      <xdr:rowOff>64635</xdr:rowOff>
    </xdr:from>
    <xdr:to>
      <xdr:col>2</xdr:col>
      <xdr:colOff>587257</xdr:colOff>
      <xdr:row>61</xdr:row>
      <xdr:rowOff>359256</xdr:rowOff>
    </xdr:to>
    <xdr:pic>
      <xdr:nvPicPr>
        <xdr:cNvPr id="79" name="Grafik 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050" y="18257385"/>
          <a:ext cx="394607" cy="2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180403</xdr:colOff>
      <xdr:row>62</xdr:row>
      <xdr:rowOff>64635</xdr:rowOff>
    </xdr:from>
    <xdr:to>
      <xdr:col>2</xdr:col>
      <xdr:colOff>599503</xdr:colOff>
      <xdr:row>62</xdr:row>
      <xdr:rowOff>359910</xdr:rowOff>
    </xdr:to>
    <xdr:pic>
      <xdr:nvPicPr>
        <xdr:cNvPr id="80" name="Grafik 13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4" t="16180" r="16446" b="17677"/>
        <a:stretch>
          <a:fillRect/>
        </a:stretch>
      </xdr:blipFill>
      <xdr:spPr bwMode="auto">
        <a:xfrm>
          <a:off x="1475803" y="18657435"/>
          <a:ext cx="419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150578</xdr:colOff>
      <xdr:row>63</xdr:row>
      <xdr:rowOff>64635</xdr:rowOff>
    </xdr:from>
    <xdr:to>
      <xdr:col>2</xdr:col>
      <xdr:colOff>629329</xdr:colOff>
      <xdr:row>63</xdr:row>
      <xdr:rowOff>360590</xdr:rowOff>
    </xdr:to>
    <xdr:pic>
      <xdr:nvPicPr>
        <xdr:cNvPr id="81" name="Grafik 14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45978" y="19057485"/>
          <a:ext cx="478751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147684</xdr:colOff>
      <xdr:row>64</xdr:row>
      <xdr:rowOff>64635</xdr:rowOff>
    </xdr:from>
    <xdr:to>
      <xdr:col>2</xdr:col>
      <xdr:colOff>632223</xdr:colOff>
      <xdr:row>64</xdr:row>
      <xdr:rowOff>357187</xdr:rowOff>
    </xdr:to>
    <xdr:pic>
      <xdr:nvPicPr>
        <xdr:cNvPr id="82" name="Grafik 3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43084" y="19457535"/>
          <a:ext cx="484539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85725</xdr:colOff>
          <xdr:row>65</xdr:row>
          <xdr:rowOff>76200</xdr:rowOff>
        </xdr:from>
        <xdr:to>
          <xdr:col>2</xdr:col>
          <xdr:colOff>695325</xdr:colOff>
          <xdr:row>65</xdr:row>
          <xdr:rowOff>333375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146337</xdr:colOff>
      <xdr:row>66</xdr:row>
      <xdr:rowOff>64635</xdr:rowOff>
    </xdr:from>
    <xdr:to>
      <xdr:col>2</xdr:col>
      <xdr:colOff>633569</xdr:colOff>
      <xdr:row>66</xdr:row>
      <xdr:rowOff>360589</xdr:rowOff>
    </xdr:to>
    <xdr:pic>
      <xdr:nvPicPr>
        <xdr:cNvPr id="83" name="Grafik 3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41737" y="20257635"/>
          <a:ext cx="487232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292152</xdr:colOff>
      <xdr:row>67</xdr:row>
      <xdr:rowOff>64635</xdr:rowOff>
    </xdr:from>
    <xdr:to>
      <xdr:col>2</xdr:col>
      <xdr:colOff>487754</xdr:colOff>
      <xdr:row>67</xdr:row>
      <xdr:rowOff>353786</xdr:rowOff>
    </xdr:to>
    <xdr:pic>
      <xdr:nvPicPr>
        <xdr:cNvPr id="84" name="Grafik 3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7552" y="20657685"/>
          <a:ext cx="195602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251841</xdr:colOff>
      <xdr:row>68</xdr:row>
      <xdr:rowOff>71439</xdr:rowOff>
    </xdr:from>
    <xdr:to>
      <xdr:col>2</xdr:col>
      <xdr:colOff>528066</xdr:colOff>
      <xdr:row>68</xdr:row>
      <xdr:rowOff>347664</xdr:rowOff>
    </xdr:to>
    <xdr:pic>
      <xdr:nvPicPr>
        <xdr:cNvPr id="85" name="Grafik 4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47241" y="21064539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279178</xdr:colOff>
      <xdr:row>69</xdr:row>
      <xdr:rowOff>66180</xdr:rowOff>
    </xdr:from>
    <xdr:to>
      <xdr:col>2</xdr:col>
      <xdr:colOff>500728</xdr:colOff>
      <xdr:row>69</xdr:row>
      <xdr:rowOff>357188</xdr:rowOff>
    </xdr:to>
    <xdr:pic>
      <xdr:nvPicPr>
        <xdr:cNvPr id="86" name="Grafik 4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9" t="2814" r="25528"/>
        <a:stretch>
          <a:fillRect/>
        </a:stretch>
      </xdr:blipFill>
      <xdr:spPr bwMode="auto">
        <a:xfrm>
          <a:off x="1574578" y="21459330"/>
          <a:ext cx="221550" cy="291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279460</xdr:colOff>
      <xdr:row>70</xdr:row>
      <xdr:rowOff>66181</xdr:rowOff>
    </xdr:from>
    <xdr:to>
      <xdr:col>2</xdr:col>
      <xdr:colOff>500447</xdr:colOff>
      <xdr:row>70</xdr:row>
      <xdr:rowOff>353785</xdr:rowOff>
    </xdr:to>
    <xdr:pic>
      <xdr:nvPicPr>
        <xdr:cNvPr id="87" name="Grafik 4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6" t="3592" r="28188" b="9271"/>
        <a:stretch>
          <a:fillRect/>
        </a:stretch>
      </xdr:blipFill>
      <xdr:spPr bwMode="auto">
        <a:xfrm>
          <a:off x="1574860" y="21859381"/>
          <a:ext cx="220987" cy="28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272495</xdr:colOff>
      <xdr:row>71</xdr:row>
      <xdr:rowOff>66183</xdr:rowOff>
    </xdr:from>
    <xdr:to>
      <xdr:col>2</xdr:col>
      <xdr:colOff>507412</xdr:colOff>
      <xdr:row>71</xdr:row>
      <xdr:rowOff>360591</xdr:rowOff>
    </xdr:to>
    <xdr:pic>
      <xdr:nvPicPr>
        <xdr:cNvPr id="88" name="Grafik 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70" t="7681" r="33746" b="11191"/>
        <a:stretch>
          <a:fillRect/>
        </a:stretch>
      </xdr:blipFill>
      <xdr:spPr bwMode="auto">
        <a:xfrm>
          <a:off x="1567895" y="22259433"/>
          <a:ext cx="234917" cy="294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305596</xdr:colOff>
      <xdr:row>72</xdr:row>
      <xdr:rowOff>64636</xdr:rowOff>
    </xdr:from>
    <xdr:to>
      <xdr:col>2</xdr:col>
      <xdr:colOff>474310</xdr:colOff>
      <xdr:row>72</xdr:row>
      <xdr:rowOff>360590</xdr:rowOff>
    </xdr:to>
    <xdr:pic>
      <xdr:nvPicPr>
        <xdr:cNvPr id="89" name="Grafik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3" t="6560" r="32944" b="5733"/>
        <a:stretch>
          <a:fillRect/>
        </a:stretch>
      </xdr:blipFill>
      <xdr:spPr bwMode="auto">
        <a:xfrm>
          <a:off x="1600996" y="22657936"/>
          <a:ext cx="168714" cy="295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161925</xdr:colOff>
          <xdr:row>73</xdr:row>
          <xdr:rowOff>66675</xdr:rowOff>
        </xdr:from>
        <xdr:to>
          <xdr:col>2</xdr:col>
          <xdr:colOff>609600</xdr:colOff>
          <xdr:row>73</xdr:row>
          <xdr:rowOff>361950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209234</xdr:colOff>
      <xdr:row>74</xdr:row>
      <xdr:rowOff>64635</xdr:rowOff>
    </xdr:from>
    <xdr:to>
      <xdr:col>2</xdr:col>
      <xdr:colOff>570673</xdr:colOff>
      <xdr:row>74</xdr:row>
      <xdr:rowOff>353786</xdr:rowOff>
    </xdr:to>
    <xdr:pic>
      <xdr:nvPicPr>
        <xdr:cNvPr id="90" name="Grafik 4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21" t="3186"/>
        <a:stretch>
          <a:fillRect/>
        </a:stretch>
      </xdr:blipFill>
      <xdr:spPr bwMode="auto">
        <a:xfrm>
          <a:off x="1504634" y="23458035"/>
          <a:ext cx="36143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282054</xdr:colOff>
      <xdr:row>75</xdr:row>
      <xdr:rowOff>64635</xdr:rowOff>
    </xdr:from>
    <xdr:to>
      <xdr:col>2</xdr:col>
      <xdr:colOff>497853</xdr:colOff>
      <xdr:row>75</xdr:row>
      <xdr:rowOff>353786</xdr:rowOff>
    </xdr:to>
    <xdr:pic>
      <xdr:nvPicPr>
        <xdr:cNvPr id="91" name="Grafik 4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62" t="6029" r="38539" b="9200"/>
        <a:stretch>
          <a:fillRect/>
        </a:stretch>
      </xdr:blipFill>
      <xdr:spPr bwMode="auto">
        <a:xfrm>
          <a:off x="1577454" y="23858085"/>
          <a:ext cx="215799" cy="289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297580</xdr:colOff>
      <xdr:row>76</xdr:row>
      <xdr:rowOff>64635</xdr:rowOff>
    </xdr:from>
    <xdr:to>
      <xdr:col>2</xdr:col>
      <xdr:colOff>482327</xdr:colOff>
      <xdr:row>76</xdr:row>
      <xdr:rowOff>357187</xdr:rowOff>
    </xdr:to>
    <xdr:pic>
      <xdr:nvPicPr>
        <xdr:cNvPr id="92" name="Grafik 4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7" t="2327" r="23866" b="9785"/>
        <a:stretch>
          <a:fillRect/>
        </a:stretch>
      </xdr:blipFill>
      <xdr:spPr bwMode="auto">
        <a:xfrm>
          <a:off x="1592980" y="24258135"/>
          <a:ext cx="184747" cy="292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77</xdr:row>
      <xdr:rowOff>64635</xdr:rowOff>
    </xdr:from>
    <xdr:to>
      <xdr:col>2</xdr:col>
      <xdr:colOff>585555</xdr:colOff>
      <xdr:row>77</xdr:row>
      <xdr:rowOff>358738</xdr:rowOff>
    </xdr:to>
    <xdr:pic>
      <xdr:nvPicPr>
        <xdr:cNvPr id="93" name="Grafik 1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51" y="24658185"/>
          <a:ext cx="391204" cy="294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228028</xdr:colOff>
      <xdr:row>78</xdr:row>
      <xdr:rowOff>88449</xdr:rowOff>
    </xdr:from>
    <xdr:to>
      <xdr:col>2</xdr:col>
      <xdr:colOff>551878</xdr:colOff>
      <xdr:row>78</xdr:row>
      <xdr:rowOff>326574</xdr:rowOff>
    </xdr:to>
    <xdr:pic>
      <xdr:nvPicPr>
        <xdr:cNvPr id="94" name="Grafik 4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5" t="22807" r="20856" b="5193"/>
        <a:stretch>
          <a:fillRect/>
        </a:stretch>
      </xdr:blipFill>
      <xdr:spPr bwMode="auto">
        <a:xfrm>
          <a:off x="1523428" y="25082049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303208</xdr:colOff>
      <xdr:row>79</xdr:row>
      <xdr:rowOff>64635</xdr:rowOff>
    </xdr:from>
    <xdr:to>
      <xdr:col>2</xdr:col>
      <xdr:colOff>476699</xdr:colOff>
      <xdr:row>79</xdr:row>
      <xdr:rowOff>360707</xdr:rowOff>
    </xdr:to>
    <xdr:pic>
      <xdr:nvPicPr>
        <xdr:cNvPr id="95" name="Grafik 50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45" r="32980"/>
        <a:stretch>
          <a:fillRect/>
        </a:stretch>
      </xdr:blipFill>
      <xdr:spPr bwMode="auto">
        <a:xfrm>
          <a:off x="1598608" y="25458285"/>
          <a:ext cx="173491" cy="296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286199</xdr:colOff>
      <xdr:row>80</xdr:row>
      <xdr:rowOff>66181</xdr:rowOff>
    </xdr:from>
    <xdr:to>
      <xdr:col>2</xdr:col>
      <xdr:colOff>493708</xdr:colOff>
      <xdr:row>80</xdr:row>
      <xdr:rowOff>350910</xdr:rowOff>
    </xdr:to>
    <xdr:pic>
      <xdr:nvPicPr>
        <xdr:cNvPr id="96" name="Grafik 51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9" t="14999" r="34853" b="19537"/>
        <a:stretch>
          <a:fillRect/>
        </a:stretch>
      </xdr:blipFill>
      <xdr:spPr bwMode="auto">
        <a:xfrm flipV="1">
          <a:off x="1581599" y="25859881"/>
          <a:ext cx="207509" cy="284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216462</xdr:colOff>
      <xdr:row>81</xdr:row>
      <xdr:rowOff>66182</xdr:rowOff>
    </xdr:from>
    <xdr:to>
      <xdr:col>2</xdr:col>
      <xdr:colOff>563444</xdr:colOff>
      <xdr:row>81</xdr:row>
      <xdr:rowOff>358338</xdr:rowOff>
    </xdr:to>
    <xdr:pic>
      <xdr:nvPicPr>
        <xdr:cNvPr id="97" name="Grafik 5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9" t="21667" r="31839" b="15466"/>
        <a:stretch>
          <a:fillRect/>
        </a:stretch>
      </xdr:blipFill>
      <xdr:spPr bwMode="auto">
        <a:xfrm>
          <a:off x="1511862" y="26259932"/>
          <a:ext cx="346982" cy="2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273084</xdr:colOff>
      <xdr:row>82</xdr:row>
      <xdr:rowOff>66183</xdr:rowOff>
    </xdr:from>
    <xdr:to>
      <xdr:col>2</xdr:col>
      <xdr:colOff>506822</xdr:colOff>
      <xdr:row>82</xdr:row>
      <xdr:rowOff>363993</xdr:rowOff>
    </xdr:to>
    <xdr:pic>
      <xdr:nvPicPr>
        <xdr:cNvPr id="98" name="Grafik 53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4" t="5661" r="29134" b="7796"/>
        <a:stretch>
          <a:fillRect/>
        </a:stretch>
      </xdr:blipFill>
      <xdr:spPr bwMode="auto">
        <a:xfrm>
          <a:off x="1568484" y="26659983"/>
          <a:ext cx="233738" cy="297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228369</xdr:colOff>
      <xdr:row>83</xdr:row>
      <xdr:rowOff>64635</xdr:rowOff>
    </xdr:from>
    <xdr:to>
      <xdr:col>2</xdr:col>
      <xdr:colOff>551538</xdr:colOff>
      <xdr:row>83</xdr:row>
      <xdr:rowOff>361600</xdr:rowOff>
    </xdr:to>
    <xdr:pic>
      <xdr:nvPicPr>
        <xdr:cNvPr id="99" name="Grafik 5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01" t="4411" r="21758" b="13615"/>
        <a:stretch>
          <a:fillRect/>
        </a:stretch>
      </xdr:blipFill>
      <xdr:spPr bwMode="auto">
        <a:xfrm>
          <a:off x="1523769" y="27058485"/>
          <a:ext cx="323169" cy="29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265732</xdr:colOff>
      <xdr:row>84</xdr:row>
      <xdr:rowOff>64634</xdr:rowOff>
    </xdr:from>
    <xdr:to>
      <xdr:col>2</xdr:col>
      <xdr:colOff>544574</xdr:colOff>
      <xdr:row>84</xdr:row>
      <xdr:rowOff>357188</xdr:rowOff>
    </xdr:to>
    <xdr:pic>
      <xdr:nvPicPr>
        <xdr:cNvPr id="100" name="Grafik 171"/>
        <xdr:cNvPicPr>
          <a:picLocks noChangeAspect="1"/>
        </xdr:cNvPicPr>
      </xdr:nvPicPr>
      <xdr:blipFill rotWithShape="1"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852" r="19055" b="12289"/>
        <a:stretch/>
      </xdr:blipFill>
      <xdr:spPr bwMode="auto">
        <a:xfrm>
          <a:off x="1561132" y="27458534"/>
          <a:ext cx="278842" cy="292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137541</xdr:colOff>
      <xdr:row>85</xdr:row>
      <xdr:rowOff>125867</xdr:rowOff>
    </xdr:from>
    <xdr:to>
      <xdr:col>2</xdr:col>
      <xdr:colOff>642366</xdr:colOff>
      <xdr:row>85</xdr:row>
      <xdr:rowOff>278267</xdr:rowOff>
    </xdr:to>
    <xdr:pic>
      <xdr:nvPicPr>
        <xdr:cNvPr id="101" name="Grafik 16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8" t="31212" r="23257" b="45096"/>
        <a:stretch>
          <a:fillRect/>
        </a:stretch>
      </xdr:blipFill>
      <xdr:spPr bwMode="auto">
        <a:xfrm>
          <a:off x="1432941" y="27919817"/>
          <a:ext cx="5048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89916</xdr:colOff>
      <xdr:row>86</xdr:row>
      <xdr:rowOff>64635</xdr:rowOff>
    </xdr:from>
    <xdr:to>
      <xdr:col>2</xdr:col>
      <xdr:colOff>689991</xdr:colOff>
      <xdr:row>86</xdr:row>
      <xdr:rowOff>340860</xdr:rowOff>
    </xdr:to>
    <xdr:pic>
      <xdr:nvPicPr>
        <xdr:cNvPr id="103" name="Grafik 56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23158" r="9213" b="18840"/>
        <a:stretch>
          <a:fillRect/>
        </a:stretch>
      </xdr:blipFill>
      <xdr:spPr bwMode="auto">
        <a:xfrm>
          <a:off x="1385316" y="28258635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187547</xdr:colOff>
      <xdr:row>87</xdr:row>
      <xdr:rowOff>64636</xdr:rowOff>
    </xdr:from>
    <xdr:to>
      <xdr:col>2</xdr:col>
      <xdr:colOff>592359</xdr:colOff>
      <xdr:row>87</xdr:row>
      <xdr:rowOff>361498</xdr:rowOff>
    </xdr:to>
    <xdr:pic>
      <xdr:nvPicPr>
        <xdr:cNvPr id="104" name="Grafik 5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4" t="4243" r="13847" b="13625"/>
        <a:stretch>
          <a:fillRect/>
        </a:stretch>
      </xdr:blipFill>
      <xdr:spPr bwMode="auto">
        <a:xfrm>
          <a:off x="1482947" y="28658686"/>
          <a:ext cx="404812" cy="29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139151</xdr:colOff>
      <xdr:row>88</xdr:row>
      <xdr:rowOff>64635</xdr:rowOff>
    </xdr:from>
    <xdr:to>
      <xdr:col>2</xdr:col>
      <xdr:colOff>640756</xdr:colOff>
      <xdr:row>88</xdr:row>
      <xdr:rowOff>360590</xdr:rowOff>
    </xdr:to>
    <xdr:pic>
      <xdr:nvPicPr>
        <xdr:cNvPr id="105" name="Grafik 5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4" t="4916" r="3174" b="4167"/>
        <a:stretch>
          <a:fillRect/>
        </a:stretch>
      </xdr:blipFill>
      <xdr:spPr bwMode="auto">
        <a:xfrm>
          <a:off x="1434551" y="29058735"/>
          <a:ext cx="501605" cy="295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180975</xdr:colOff>
          <xdr:row>89</xdr:row>
          <xdr:rowOff>66675</xdr:rowOff>
        </xdr:from>
        <xdr:to>
          <xdr:col>2</xdr:col>
          <xdr:colOff>600075</xdr:colOff>
          <xdr:row>89</xdr:row>
          <xdr:rowOff>352425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214146</xdr:colOff>
      <xdr:row>90</xdr:row>
      <xdr:rowOff>64635</xdr:rowOff>
    </xdr:from>
    <xdr:to>
      <xdr:col>2</xdr:col>
      <xdr:colOff>565761</xdr:colOff>
      <xdr:row>90</xdr:row>
      <xdr:rowOff>352901</xdr:rowOff>
    </xdr:to>
    <xdr:pic>
      <xdr:nvPicPr>
        <xdr:cNvPr id="106" name="Grafik 60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1" t="7262" r="13695" b="2553"/>
        <a:stretch>
          <a:fillRect/>
        </a:stretch>
      </xdr:blipFill>
      <xdr:spPr bwMode="auto">
        <a:xfrm>
          <a:off x="1509546" y="29858835"/>
          <a:ext cx="351615" cy="288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194099</xdr:colOff>
      <xdr:row>91</xdr:row>
      <xdr:rowOff>64635</xdr:rowOff>
    </xdr:from>
    <xdr:to>
      <xdr:col>2</xdr:col>
      <xdr:colOff>585808</xdr:colOff>
      <xdr:row>91</xdr:row>
      <xdr:rowOff>350384</xdr:rowOff>
    </xdr:to>
    <xdr:pic>
      <xdr:nvPicPr>
        <xdr:cNvPr id="107" name="Grafik 6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7" t="8696" r="12199" b="12032"/>
        <a:stretch>
          <a:fillRect/>
        </a:stretch>
      </xdr:blipFill>
      <xdr:spPr bwMode="auto">
        <a:xfrm>
          <a:off x="1489499" y="30258885"/>
          <a:ext cx="391709" cy="28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218163</xdr:colOff>
      <xdr:row>92</xdr:row>
      <xdr:rowOff>64635</xdr:rowOff>
    </xdr:from>
    <xdr:to>
      <xdr:col>2</xdr:col>
      <xdr:colOff>561743</xdr:colOff>
      <xdr:row>92</xdr:row>
      <xdr:rowOff>352408</xdr:rowOff>
    </xdr:to>
    <xdr:pic>
      <xdr:nvPicPr>
        <xdr:cNvPr id="108" name="Grafik 62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2" t="18465" r="20113" b="6117"/>
        <a:stretch>
          <a:fillRect/>
        </a:stretch>
      </xdr:blipFill>
      <xdr:spPr bwMode="auto">
        <a:xfrm>
          <a:off x="1513563" y="30658935"/>
          <a:ext cx="343580" cy="287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102503</xdr:colOff>
      <xdr:row>93</xdr:row>
      <xdr:rowOff>64635</xdr:rowOff>
    </xdr:from>
    <xdr:to>
      <xdr:col>2</xdr:col>
      <xdr:colOff>677404</xdr:colOff>
      <xdr:row>93</xdr:row>
      <xdr:rowOff>352085</xdr:rowOff>
    </xdr:to>
    <xdr:pic>
      <xdr:nvPicPr>
        <xdr:cNvPr id="109" name="Grafik 63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7" t="10809" r="2196" b="12961"/>
        <a:stretch>
          <a:fillRect/>
        </a:stretch>
      </xdr:blipFill>
      <xdr:spPr bwMode="auto">
        <a:xfrm>
          <a:off x="1397903" y="31058985"/>
          <a:ext cx="574901" cy="2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22</xdr:row>
          <xdr:rowOff>0</xdr:rowOff>
        </xdr:from>
        <xdr:to>
          <xdr:col>7</xdr:col>
          <xdr:colOff>762000</xdr:colOff>
          <xdr:row>28</xdr:row>
          <xdr:rowOff>38100</xdr:rowOff>
        </xdr:to>
        <xdr:sp macro="" textlink="">
          <xdr:nvSpPr>
            <xdr:cNvPr id="1112" name="Group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23</xdr:row>
          <xdr:rowOff>9525</xdr:rowOff>
        </xdr:from>
        <xdr:to>
          <xdr:col>6</xdr:col>
          <xdr:colOff>323850</xdr:colOff>
          <xdr:row>23</xdr:row>
          <xdr:rowOff>180975</xdr:rowOff>
        </xdr:to>
        <xdr:sp macro="" textlink="">
          <xdr:nvSpPr>
            <xdr:cNvPr id="1123" name="Option Button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22</xdr:row>
          <xdr:rowOff>0</xdr:rowOff>
        </xdr:from>
        <xdr:to>
          <xdr:col>12</xdr:col>
          <xdr:colOff>133350</xdr:colOff>
          <xdr:row>28</xdr:row>
          <xdr:rowOff>57150</xdr:rowOff>
        </xdr:to>
        <xdr:sp macro="" textlink="">
          <xdr:nvSpPr>
            <xdr:cNvPr id="1138" name="Group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781050</xdr:colOff>
          <xdr:row>23</xdr:row>
          <xdr:rowOff>9525</xdr:rowOff>
        </xdr:from>
        <xdr:to>
          <xdr:col>9</xdr:col>
          <xdr:colOff>352425</xdr:colOff>
          <xdr:row>23</xdr:row>
          <xdr:rowOff>180975</xdr:rowOff>
        </xdr:to>
        <xdr:sp macro="" textlink="">
          <xdr:nvSpPr>
            <xdr:cNvPr id="1139" name="Option Button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24</xdr:row>
          <xdr:rowOff>9525</xdr:rowOff>
        </xdr:from>
        <xdr:to>
          <xdr:col>6</xdr:col>
          <xdr:colOff>323850</xdr:colOff>
          <xdr:row>24</xdr:row>
          <xdr:rowOff>180975</xdr:rowOff>
        </xdr:to>
        <xdr:sp macro="" textlink="">
          <xdr:nvSpPr>
            <xdr:cNvPr id="1156" name="Option Button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781050</xdr:colOff>
          <xdr:row>24</xdr:row>
          <xdr:rowOff>9525</xdr:rowOff>
        </xdr:from>
        <xdr:to>
          <xdr:col>9</xdr:col>
          <xdr:colOff>352425</xdr:colOff>
          <xdr:row>24</xdr:row>
          <xdr:rowOff>180975</xdr:rowOff>
        </xdr:to>
        <xdr:sp macro="" textlink="">
          <xdr:nvSpPr>
            <xdr:cNvPr id="1157" name="Option Button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25</xdr:row>
          <xdr:rowOff>9525</xdr:rowOff>
        </xdr:from>
        <xdr:to>
          <xdr:col>6</xdr:col>
          <xdr:colOff>323850</xdr:colOff>
          <xdr:row>25</xdr:row>
          <xdr:rowOff>180975</xdr:rowOff>
        </xdr:to>
        <xdr:sp macro="" textlink="">
          <xdr:nvSpPr>
            <xdr:cNvPr id="1158" name="Option Button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781050</xdr:colOff>
          <xdr:row>25</xdr:row>
          <xdr:rowOff>9525</xdr:rowOff>
        </xdr:from>
        <xdr:to>
          <xdr:col>9</xdr:col>
          <xdr:colOff>352425</xdr:colOff>
          <xdr:row>25</xdr:row>
          <xdr:rowOff>180975</xdr:rowOff>
        </xdr:to>
        <xdr:sp macro="" textlink="">
          <xdr:nvSpPr>
            <xdr:cNvPr id="1159" name="Option Button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26</xdr:row>
          <xdr:rowOff>0</xdr:rowOff>
        </xdr:from>
        <xdr:to>
          <xdr:col>6</xdr:col>
          <xdr:colOff>323850</xdr:colOff>
          <xdr:row>26</xdr:row>
          <xdr:rowOff>171450</xdr:rowOff>
        </xdr:to>
        <xdr:sp macro="" textlink="">
          <xdr:nvSpPr>
            <xdr:cNvPr id="1160" name="Option Button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781050</xdr:colOff>
          <xdr:row>26</xdr:row>
          <xdr:rowOff>0</xdr:rowOff>
        </xdr:from>
        <xdr:to>
          <xdr:col>9</xdr:col>
          <xdr:colOff>352425</xdr:colOff>
          <xdr:row>26</xdr:row>
          <xdr:rowOff>171450</xdr:rowOff>
        </xdr:to>
        <xdr:sp macro="" textlink="">
          <xdr:nvSpPr>
            <xdr:cNvPr id="1161" name="Option Button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27</xdr:row>
          <xdr:rowOff>0</xdr:rowOff>
        </xdr:from>
        <xdr:to>
          <xdr:col>6</xdr:col>
          <xdr:colOff>323850</xdr:colOff>
          <xdr:row>27</xdr:row>
          <xdr:rowOff>171450</xdr:rowOff>
        </xdr:to>
        <xdr:sp macro="" textlink="">
          <xdr:nvSpPr>
            <xdr:cNvPr id="1162" name="Option Button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781050</xdr:colOff>
          <xdr:row>27</xdr:row>
          <xdr:rowOff>0</xdr:rowOff>
        </xdr:from>
        <xdr:to>
          <xdr:col>9</xdr:col>
          <xdr:colOff>352425</xdr:colOff>
          <xdr:row>27</xdr:row>
          <xdr:rowOff>171450</xdr:rowOff>
        </xdr:to>
        <xdr:sp macro="" textlink="">
          <xdr:nvSpPr>
            <xdr:cNvPr id="1163" name="Option Button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194351</xdr:colOff>
      <xdr:row>51</xdr:row>
      <xdr:rowOff>68037</xdr:rowOff>
    </xdr:from>
    <xdr:to>
      <xdr:col>2</xdr:col>
      <xdr:colOff>585556</xdr:colOff>
      <xdr:row>51</xdr:row>
      <xdr:rowOff>350607</xdr:rowOff>
    </xdr:to>
    <xdr:pic>
      <xdr:nvPicPr>
        <xdr:cNvPr id="110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426028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194351</xdr:colOff>
      <xdr:row>50</xdr:row>
      <xdr:rowOff>68037</xdr:rowOff>
    </xdr:from>
    <xdr:to>
      <xdr:col>2</xdr:col>
      <xdr:colOff>585556</xdr:colOff>
      <xdr:row>50</xdr:row>
      <xdr:rowOff>350607</xdr:rowOff>
    </xdr:to>
    <xdr:pic>
      <xdr:nvPicPr>
        <xdr:cNvPr id="111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04" t="7817" r="17844" b="4201"/>
        <a:stretch>
          <a:fillRect/>
        </a:stretch>
      </xdr:blipFill>
      <xdr:spPr bwMode="auto">
        <a:xfrm>
          <a:off x="1489751" y="13860237"/>
          <a:ext cx="391205" cy="282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0</xdr:row>
      <xdr:rowOff>133350</xdr:rowOff>
    </xdr:from>
    <xdr:to>
      <xdr:col>4</xdr:col>
      <xdr:colOff>871538</xdr:colOff>
      <xdr:row>6</xdr:row>
      <xdr:rowOff>12700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33350"/>
          <a:ext cx="2147888" cy="1431925"/>
        </a:xfrm>
        <a:prstGeom prst="rect">
          <a:avLst/>
        </a:prstGeom>
      </xdr:spPr>
    </xdr:pic>
    <xdr:clientData/>
  </xdr:twoCellAnchor>
  <xdr:twoCellAnchor>
    <xdr:from>
      <xdr:col>2</xdr:col>
      <xdr:colOff>97946</xdr:colOff>
      <xdr:row>44</xdr:row>
      <xdr:rowOff>70450</xdr:rowOff>
    </xdr:from>
    <xdr:to>
      <xdr:col>2</xdr:col>
      <xdr:colOff>645534</xdr:colOff>
      <xdr:row>44</xdr:row>
      <xdr:rowOff>332836</xdr:rowOff>
    </xdr:to>
    <xdr:pic>
      <xdr:nvPicPr>
        <xdr:cNvPr id="112" name="Grafik 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382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1164" name="Option Button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1165" name="Option Button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352425</xdr:colOff>
          <xdr:row>8</xdr:row>
          <xdr:rowOff>0</xdr:rowOff>
        </xdr:to>
        <xdr:sp macro="" textlink="">
          <xdr:nvSpPr>
            <xdr:cNvPr id="5121" name="Group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352425</xdr:colOff>
          <xdr:row>20</xdr:row>
          <xdr:rowOff>0</xdr:rowOff>
        </xdr:to>
        <xdr:sp macro="" textlink="">
          <xdr:nvSpPr>
            <xdr:cNvPr id="5123" name="Group Box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146658</xdr:colOff>
      <xdr:row>23</xdr:row>
      <xdr:rowOff>50260</xdr:rowOff>
    </xdr:from>
    <xdr:to>
      <xdr:col>2</xdr:col>
      <xdr:colOff>569203</xdr:colOff>
      <xdr:row>23</xdr:row>
      <xdr:rowOff>350210</xdr:rowOff>
    </xdr:to>
    <xdr:pic>
      <xdr:nvPicPr>
        <xdr:cNvPr id="6" name="Grafik 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6" t="11818" r="15182" b="14584"/>
        <a:stretch>
          <a:fillRect/>
        </a:stretch>
      </xdr:blipFill>
      <xdr:spPr bwMode="auto">
        <a:xfrm>
          <a:off x="1442058" y="5384260"/>
          <a:ext cx="422545" cy="29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103087</xdr:colOff>
      <xdr:row>24</xdr:row>
      <xdr:rowOff>58366</xdr:rowOff>
    </xdr:from>
    <xdr:to>
      <xdr:col>2</xdr:col>
      <xdr:colOff>620477</xdr:colOff>
      <xdr:row>24</xdr:row>
      <xdr:rowOff>338036</xdr:rowOff>
    </xdr:to>
    <xdr:pic>
      <xdr:nvPicPr>
        <xdr:cNvPr id="7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7" t="11716" r="3590" b="14922"/>
        <a:stretch>
          <a:fillRect/>
        </a:stretch>
      </xdr:blipFill>
      <xdr:spPr bwMode="auto">
        <a:xfrm>
          <a:off x="1398487" y="5792416"/>
          <a:ext cx="517390" cy="279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117368</xdr:colOff>
      <xdr:row>25</xdr:row>
      <xdr:rowOff>86838</xdr:rowOff>
    </xdr:from>
    <xdr:to>
      <xdr:col>2</xdr:col>
      <xdr:colOff>611858</xdr:colOff>
      <xdr:row>25</xdr:row>
      <xdr:rowOff>312716</xdr:rowOff>
    </xdr:to>
    <xdr:pic>
      <xdr:nvPicPr>
        <xdr:cNvPr id="8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3" t="11345" r="3244" b="20576"/>
        <a:stretch>
          <a:fillRect/>
        </a:stretch>
      </xdr:blipFill>
      <xdr:spPr bwMode="auto">
        <a:xfrm>
          <a:off x="1412768" y="6220938"/>
          <a:ext cx="494490" cy="225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26</xdr:row>
      <xdr:rowOff>55545</xdr:rowOff>
    </xdr:from>
    <xdr:to>
      <xdr:col>2</xdr:col>
      <xdr:colOff>533534</xdr:colOff>
      <xdr:row>26</xdr:row>
      <xdr:rowOff>342091</xdr:rowOff>
    </xdr:to>
    <xdr:pic>
      <xdr:nvPicPr>
        <xdr:cNvPr id="9" name="Grafik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658969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127947</xdr:colOff>
      <xdr:row>27</xdr:row>
      <xdr:rowOff>69578</xdr:rowOff>
    </xdr:from>
    <xdr:to>
      <xdr:col>2</xdr:col>
      <xdr:colOff>629123</xdr:colOff>
      <xdr:row>27</xdr:row>
      <xdr:rowOff>329930</xdr:rowOff>
    </xdr:to>
    <xdr:pic>
      <xdr:nvPicPr>
        <xdr:cNvPr id="10" name="Grafik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347" y="7003778"/>
          <a:ext cx="501176" cy="26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177167</xdr:colOff>
      <xdr:row>28</xdr:row>
      <xdr:rowOff>104878</xdr:rowOff>
    </xdr:from>
    <xdr:to>
      <xdr:col>2</xdr:col>
      <xdr:colOff>532303</xdr:colOff>
      <xdr:row>28</xdr:row>
      <xdr:rowOff>294835</xdr:rowOff>
    </xdr:to>
    <xdr:pic>
      <xdr:nvPicPr>
        <xdr:cNvPr id="11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35653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29</xdr:row>
      <xdr:rowOff>52793</xdr:rowOff>
    </xdr:from>
    <xdr:to>
      <xdr:col>2</xdr:col>
      <xdr:colOff>584993</xdr:colOff>
      <xdr:row>29</xdr:row>
      <xdr:rowOff>347663</xdr:rowOff>
    </xdr:to>
    <xdr:pic>
      <xdr:nvPicPr>
        <xdr:cNvPr id="12" name="Grafik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78709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30</xdr:row>
      <xdr:rowOff>47624</xdr:rowOff>
    </xdr:from>
    <xdr:to>
      <xdr:col>2</xdr:col>
      <xdr:colOff>564911</xdr:colOff>
      <xdr:row>30</xdr:row>
      <xdr:rowOff>354805</xdr:rowOff>
    </xdr:to>
    <xdr:pic>
      <xdr:nvPicPr>
        <xdr:cNvPr id="13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818197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31</xdr:row>
      <xdr:rowOff>53975</xdr:rowOff>
    </xdr:from>
    <xdr:to>
      <xdr:col>2</xdr:col>
      <xdr:colOff>606320</xdr:colOff>
      <xdr:row>31</xdr:row>
      <xdr:rowOff>350045</xdr:rowOff>
    </xdr:to>
    <xdr:pic>
      <xdr:nvPicPr>
        <xdr:cNvPr id="14" name="Grafik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58837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5129" name="Option Button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19050</xdr:rowOff>
        </xdr:from>
        <xdr:to>
          <xdr:col>10</xdr:col>
          <xdr:colOff>314325</xdr:colOff>
          <xdr:row>14</xdr:row>
          <xdr:rowOff>180975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9525</xdr:rowOff>
        </xdr:from>
        <xdr:to>
          <xdr:col>10</xdr:col>
          <xdr:colOff>314325</xdr:colOff>
          <xdr:row>15</xdr:row>
          <xdr:rowOff>171450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171450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9525</xdr:rowOff>
        </xdr:from>
        <xdr:to>
          <xdr:col>10</xdr:col>
          <xdr:colOff>314325</xdr:colOff>
          <xdr:row>17</xdr:row>
          <xdr:rowOff>171450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32</xdr:row>
      <xdr:rowOff>70450</xdr:rowOff>
    </xdr:from>
    <xdr:to>
      <xdr:col>2</xdr:col>
      <xdr:colOff>645534</xdr:colOff>
      <xdr:row>32</xdr:row>
      <xdr:rowOff>332836</xdr:rowOff>
    </xdr:to>
    <xdr:pic>
      <xdr:nvPicPr>
        <xdr:cNvPr id="33" name="Grafik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900490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33</xdr:row>
      <xdr:rowOff>48884</xdr:rowOff>
    </xdr:from>
    <xdr:to>
      <xdr:col>2</xdr:col>
      <xdr:colOff>525673</xdr:colOff>
      <xdr:row>33</xdr:row>
      <xdr:rowOff>345541</xdr:rowOff>
    </xdr:to>
    <xdr:pic>
      <xdr:nvPicPr>
        <xdr:cNvPr id="34" name="Grafik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38338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34</xdr:row>
      <xdr:rowOff>48882</xdr:rowOff>
    </xdr:from>
    <xdr:to>
      <xdr:col>2</xdr:col>
      <xdr:colOff>593018</xdr:colOff>
      <xdr:row>34</xdr:row>
      <xdr:rowOff>354401</xdr:rowOff>
    </xdr:to>
    <xdr:pic>
      <xdr:nvPicPr>
        <xdr:cNvPr id="35" name="Grafik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78343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35</xdr:row>
      <xdr:rowOff>52477</xdr:rowOff>
    </xdr:from>
    <xdr:to>
      <xdr:col>2</xdr:col>
      <xdr:colOff>597559</xdr:colOff>
      <xdr:row>35</xdr:row>
      <xdr:rowOff>354402</xdr:rowOff>
    </xdr:to>
    <xdr:pic>
      <xdr:nvPicPr>
        <xdr:cNvPr id="36" name="Grafik 1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1018707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36</xdr:row>
      <xdr:rowOff>49601</xdr:rowOff>
    </xdr:from>
    <xdr:to>
      <xdr:col>2</xdr:col>
      <xdr:colOff>583183</xdr:colOff>
      <xdr:row>36</xdr:row>
      <xdr:rowOff>354401</xdr:rowOff>
    </xdr:to>
    <xdr:pic>
      <xdr:nvPicPr>
        <xdr:cNvPr id="37" name="Grafik 1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58425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37</xdr:row>
      <xdr:rowOff>48885</xdr:rowOff>
    </xdr:from>
    <xdr:to>
      <xdr:col>2</xdr:col>
      <xdr:colOff>611935</xdr:colOff>
      <xdr:row>37</xdr:row>
      <xdr:rowOff>357999</xdr:rowOff>
    </xdr:to>
    <xdr:pic>
      <xdr:nvPicPr>
        <xdr:cNvPr id="38" name="Grafik 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98358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39</xdr:row>
      <xdr:rowOff>45287</xdr:rowOff>
    </xdr:from>
    <xdr:to>
      <xdr:col>2</xdr:col>
      <xdr:colOff>608342</xdr:colOff>
      <xdr:row>39</xdr:row>
      <xdr:rowOff>354400</xdr:rowOff>
    </xdr:to>
    <xdr:pic>
      <xdr:nvPicPr>
        <xdr:cNvPr id="39" name="Grafik 1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78008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40</xdr:row>
      <xdr:rowOff>57730</xdr:rowOff>
    </xdr:from>
    <xdr:to>
      <xdr:col>2</xdr:col>
      <xdr:colOff>640693</xdr:colOff>
      <xdr:row>40</xdr:row>
      <xdr:rowOff>354401</xdr:rowOff>
    </xdr:to>
    <xdr:pic>
      <xdr:nvPicPr>
        <xdr:cNvPr id="40" name="Grafik 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19258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38</xdr:row>
      <xdr:rowOff>45290</xdr:rowOff>
    </xdr:from>
    <xdr:to>
      <xdr:col>2</xdr:col>
      <xdr:colOff>611935</xdr:colOff>
      <xdr:row>38</xdr:row>
      <xdr:rowOff>354404</xdr:rowOff>
    </xdr:to>
    <xdr:pic>
      <xdr:nvPicPr>
        <xdr:cNvPr id="41" name="Grafik 1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38004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41</xdr:row>
      <xdr:rowOff>54135</xdr:rowOff>
    </xdr:from>
    <xdr:to>
      <xdr:col>2</xdr:col>
      <xdr:colOff>640693</xdr:colOff>
      <xdr:row>41</xdr:row>
      <xdr:rowOff>350806</xdr:rowOff>
    </xdr:to>
    <xdr:pic>
      <xdr:nvPicPr>
        <xdr:cNvPr id="42" name="Grafik 17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58903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130295</xdr:colOff>
      <xdr:row>43</xdr:row>
      <xdr:rowOff>49062</xdr:rowOff>
    </xdr:from>
    <xdr:to>
      <xdr:col>2</xdr:col>
      <xdr:colOff>588495</xdr:colOff>
      <xdr:row>43</xdr:row>
      <xdr:rowOff>343619</xdr:rowOff>
    </xdr:to>
    <xdr:pic>
      <xdr:nvPicPr>
        <xdr:cNvPr id="43" name="Grafik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8" t="3084" r="3461" b="4425"/>
        <a:stretch>
          <a:fillRect/>
        </a:stretch>
      </xdr:blipFill>
      <xdr:spPr bwMode="auto">
        <a:xfrm>
          <a:off x="1425695" y="13384062"/>
          <a:ext cx="458200" cy="294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177919</xdr:colOff>
      <xdr:row>44</xdr:row>
      <xdr:rowOff>50320</xdr:rowOff>
    </xdr:from>
    <xdr:to>
      <xdr:col>2</xdr:col>
      <xdr:colOff>557483</xdr:colOff>
      <xdr:row>44</xdr:row>
      <xdr:rowOff>350808</xdr:rowOff>
    </xdr:to>
    <xdr:pic>
      <xdr:nvPicPr>
        <xdr:cNvPr id="44" name="Grafi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8" t="12238" r="13945" b="8911"/>
        <a:stretch>
          <a:fillRect/>
        </a:stretch>
      </xdr:blipFill>
      <xdr:spPr bwMode="auto">
        <a:xfrm>
          <a:off x="1473319" y="13785370"/>
          <a:ext cx="379564" cy="30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42</xdr:row>
      <xdr:rowOff>59666</xdr:rowOff>
    </xdr:from>
    <xdr:to>
      <xdr:col>2</xdr:col>
      <xdr:colOff>567905</xdr:colOff>
      <xdr:row>42</xdr:row>
      <xdr:rowOff>345416</xdr:rowOff>
    </xdr:to>
    <xdr:pic>
      <xdr:nvPicPr>
        <xdr:cNvPr id="45" name="Grafik 1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99461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45</xdr:row>
      <xdr:rowOff>52478</xdr:rowOff>
    </xdr:from>
    <xdr:to>
      <xdr:col>2</xdr:col>
      <xdr:colOff>575814</xdr:colOff>
      <xdr:row>45</xdr:row>
      <xdr:rowOff>347753</xdr:rowOff>
    </xdr:to>
    <xdr:pic>
      <xdr:nvPicPr>
        <xdr:cNvPr id="47" name="Grafik 4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1875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46</xdr:row>
      <xdr:rowOff>52477</xdr:rowOff>
    </xdr:from>
    <xdr:to>
      <xdr:col>2</xdr:col>
      <xdr:colOff>575814</xdr:colOff>
      <xdr:row>46</xdr:row>
      <xdr:rowOff>347752</xdr:rowOff>
    </xdr:to>
    <xdr:pic>
      <xdr:nvPicPr>
        <xdr:cNvPr id="49" name="Grafik 4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45876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238482</xdr:colOff>
      <xdr:row>48</xdr:row>
      <xdr:rowOff>53734</xdr:rowOff>
    </xdr:from>
    <xdr:to>
      <xdr:col>2</xdr:col>
      <xdr:colOff>515657</xdr:colOff>
      <xdr:row>48</xdr:row>
      <xdr:rowOff>347213</xdr:rowOff>
    </xdr:to>
    <xdr:pic>
      <xdr:nvPicPr>
        <xdr:cNvPr id="50" name="Grafik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4" t="4420" r="20264" b="1717"/>
        <a:stretch>
          <a:fillRect/>
        </a:stretch>
      </xdr:blipFill>
      <xdr:spPr bwMode="auto">
        <a:xfrm>
          <a:off x="1533882" y="15388984"/>
          <a:ext cx="277175" cy="29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49</xdr:row>
      <xdr:rowOff>53736</xdr:rowOff>
    </xdr:from>
    <xdr:to>
      <xdr:col>2</xdr:col>
      <xdr:colOff>597556</xdr:colOff>
      <xdr:row>49</xdr:row>
      <xdr:rowOff>355164</xdr:rowOff>
    </xdr:to>
    <xdr:pic>
      <xdr:nvPicPr>
        <xdr:cNvPr id="51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7890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47</xdr:row>
      <xdr:rowOff>51008</xdr:rowOff>
    </xdr:from>
    <xdr:to>
      <xdr:col>2</xdr:col>
      <xdr:colOff>514890</xdr:colOff>
      <xdr:row>47</xdr:row>
      <xdr:rowOff>347214</xdr:rowOff>
    </xdr:to>
    <xdr:pic>
      <xdr:nvPicPr>
        <xdr:cNvPr id="52" name="Grafik 6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9862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50</xdr:row>
      <xdr:rowOff>50141</xdr:rowOff>
    </xdr:from>
    <xdr:to>
      <xdr:col>2</xdr:col>
      <xdr:colOff>597556</xdr:colOff>
      <xdr:row>50</xdr:row>
      <xdr:rowOff>351569</xdr:rowOff>
    </xdr:to>
    <xdr:pic>
      <xdr:nvPicPr>
        <xdr:cNvPr id="53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1854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51</xdr:row>
      <xdr:rowOff>53735</xdr:rowOff>
    </xdr:from>
    <xdr:to>
      <xdr:col>2</xdr:col>
      <xdr:colOff>597556</xdr:colOff>
      <xdr:row>51</xdr:row>
      <xdr:rowOff>355163</xdr:rowOff>
    </xdr:to>
    <xdr:pic>
      <xdr:nvPicPr>
        <xdr:cNvPr id="54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5891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52</xdr:row>
      <xdr:rowOff>50140</xdr:rowOff>
    </xdr:from>
    <xdr:to>
      <xdr:col>2</xdr:col>
      <xdr:colOff>597556</xdr:colOff>
      <xdr:row>52</xdr:row>
      <xdr:rowOff>351568</xdr:rowOff>
    </xdr:to>
    <xdr:pic>
      <xdr:nvPicPr>
        <xdr:cNvPr id="55" name="Grafik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9855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53</xdr:row>
      <xdr:rowOff>52478</xdr:rowOff>
    </xdr:from>
    <xdr:to>
      <xdr:col>2</xdr:col>
      <xdr:colOff>588516</xdr:colOff>
      <xdr:row>53</xdr:row>
      <xdr:rowOff>347214</xdr:rowOff>
    </xdr:to>
    <xdr:pic>
      <xdr:nvPicPr>
        <xdr:cNvPr id="56" name="Grafik 2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73879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55</xdr:row>
      <xdr:rowOff>53736</xdr:rowOff>
    </xdr:from>
    <xdr:to>
      <xdr:col>2</xdr:col>
      <xdr:colOff>554074</xdr:colOff>
      <xdr:row>55</xdr:row>
      <xdr:rowOff>350807</xdr:rowOff>
    </xdr:to>
    <xdr:pic>
      <xdr:nvPicPr>
        <xdr:cNvPr id="57" name="Grafik 180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81893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216557</xdr:colOff>
      <xdr:row>56</xdr:row>
      <xdr:rowOff>51400</xdr:rowOff>
    </xdr:from>
    <xdr:to>
      <xdr:col>2</xdr:col>
      <xdr:colOff>538996</xdr:colOff>
      <xdr:row>56</xdr:row>
      <xdr:rowOff>350808</xdr:rowOff>
    </xdr:to>
    <xdr:pic>
      <xdr:nvPicPr>
        <xdr:cNvPr id="58" name="Grafik 180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5" t="3452" r="18765" b="6824"/>
        <a:stretch>
          <a:fillRect/>
        </a:stretch>
      </xdr:blipFill>
      <xdr:spPr bwMode="auto">
        <a:xfrm>
          <a:off x="1511957" y="18587050"/>
          <a:ext cx="322439" cy="29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57</xdr:row>
      <xdr:rowOff>47805</xdr:rowOff>
    </xdr:from>
    <xdr:to>
      <xdr:col>2</xdr:col>
      <xdr:colOff>569077</xdr:colOff>
      <xdr:row>57</xdr:row>
      <xdr:rowOff>354402</xdr:rowOff>
    </xdr:to>
    <xdr:pic>
      <xdr:nvPicPr>
        <xdr:cNvPr id="59" name="Grafik 180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9835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58</xdr:row>
      <xdr:rowOff>57330</xdr:rowOff>
    </xdr:from>
    <xdr:to>
      <xdr:col>2</xdr:col>
      <xdr:colOff>629917</xdr:colOff>
      <xdr:row>58</xdr:row>
      <xdr:rowOff>347214</xdr:rowOff>
    </xdr:to>
    <xdr:pic>
      <xdr:nvPicPr>
        <xdr:cNvPr id="60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93930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54</xdr:row>
      <xdr:rowOff>50139</xdr:rowOff>
    </xdr:from>
    <xdr:to>
      <xdr:col>2</xdr:col>
      <xdr:colOff>524416</xdr:colOff>
      <xdr:row>54</xdr:row>
      <xdr:rowOff>354402</xdr:rowOff>
    </xdr:to>
    <xdr:pic>
      <xdr:nvPicPr>
        <xdr:cNvPr id="61" name="Grafik 3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7856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59</xdr:row>
      <xdr:rowOff>48883</xdr:rowOff>
    </xdr:from>
    <xdr:to>
      <xdr:col>2</xdr:col>
      <xdr:colOff>477051</xdr:colOff>
      <xdr:row>59</xdr:row>
      <xdr:rowOff>350807</xdr:rowOff>
    </xdr:to>
    <xdr:pic>
      <xdr:nvPicPr>
        <xdr:cNvPr id="62" name="Grafik 180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7846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60</xdr:row>
      <xdr:rowOff>52478</xdr:rowOff>
    </xdr:from>
    <xdr:to>
      <xdr:col>2</xdr:col>
      <xdr:colOff>477051</xdr:colOff>
      <xdr:row>60</xdr:row>
      <xdr:rowOff>354402</xdr:rowOff>
    </xdr:to>
    <xdr:pic>
      <xdr:nvPicPr>
        <xdr:cNvPr id="63" name="Grafik 180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201883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61</xdr:row>
      <xdr:rowOff>52478</xdr:rowOff>
    </xdr:from>
    <xdr:to>
      <xdr:col>2</xdr:col>
      <xdr:colOff>600642</xdr:colOff>
      <xdr:row>61</xdr:row>
      <xdr:rowOff>350808</xdr:rowOff>
    </xdr:to>
    <xdr:pic>
      <xdr:nvPicPr>
        <xdr:cNvPr id="64" name="Grafik 180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205883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95072</xdr:colOff>
      <xdr:row>63</xdr:row>
      <xdr:rowOff>47625</xdr:rowOff>
    </xdr:from>
    <xdr:to>
      <xdr:col>2</xdr:col>
      <xdr:colOff>658665</xdr:colOff>
      <xdr:row>63</xdr:row>
      <xdr:rowOff>351098</xdr:rowOff>
    </xdr:to>
    <xdr:pic>
      <xdr:nvPicPr>
        <xdr:cNvPr id="65" name="Grafik 180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0472" y="21383625"/>
          <a:ext cx="563593" cy="303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187986</xdr:colOff>
      <xdr:row>64</xdr:row>
      <xdr:rowOff>56072</xdr:rowOff>
    </xdr:from>
    <xdr:to>
      <xdr:col>2</xdr:col>
      <xdr:colOff>568040</xdr:colOff>
      <xdr:row>64</xdr:row>
      <xdr:rowOff>350808</xdr:rowOff>
    </xdr:to>
    <xdr:pic>
      <xdr:nvPicPr>
        <xdr:cNvPr id="66" name="Grafik 180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5" t="15685" r="19672" b="16676"/>
        <a:stretch>
          <a:fillRect/>
        </a:stretch>
      </xdr:blipFill>
      <xdr:spPr bwMode="auto">
        <a:xfrm>
          <a:off x="1483386" y="21792122"/>
          <a:ext cx="380054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159055</xdr:colOff>
      <xdr:row>65</xdr:row>
      <xdr:rowOff>47625</xdr:rowOff>
    </xdr:from>
    <xdr:to>
      <xdr:col>2</xdr:col>
      <xdr:colOff>619221</xdr:colOff>
      <xdr:row>65</xdr:row>
      <xdr:rowOff>354402</xdr:rowOff>
    </xdr:to>
    <xdr:pic>
      <xdr:nvPicPr>
        <xdr:cNvPr id="67" name="Grafik 180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9" t="17393" r="1051" b="7680"/>
        <a:stretch>
          <a:fillRect/>
        </a:stretch>
      </xdr:blipFill>
      <xdr:spPr bwMode="auto">
        <a:xfrm>
          <a:off x="1454455" y="22183725"/>
          <a:ext cx="460166" cy="30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135508</xdr:colOff>
      <xdr:row>66</xdr:row>
      <xdr:rowOff>53554</xdr:rowOff>
    </xdr:from>
    <xdr:to>
      <xdr:col>2</xdr:col>
      <xdr:colOff>607142</xdr:colOff>
      <xdr:row>66</xdr:row>
      <xdr:rowOff>347213</xdr:rowOff>
    </xdr:to>
    <xdr:pic>
      <xdr:nvPicPr>
        <xdr:cNvPr id="68" name="Grafik 180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3" t="22664" r="17278" b="20187"/>
        <a:stretch>
          <a:fillRect/>
        </a:stretch>
      </xdr:blipFill>
      <xdr:spPr bwMode="auto">
        <a:xfrm>
          <a:off x="1430908" y="22589704"/>
          <a:ext cx="471634" cy="29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67</xdr:row>
      <xdr:rowOff>50143</xdr:rowOff>
    </xdr:from>
    <xdr:to>
      <xdr:col>2</xdr:col>
      <xdr:colOff>496724</xdr:colOff>
      <xdr:row>67</xdr:row>
      <xdr:rowOff>350809</xdr:rowOff>
    </xdr:to>
    <xdr:pic>
      <xdr:nvPicPr>
        <xdr:cNvPr id="69" name="Grafik 180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9863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68</xdr:row>
      <xdr:rowOff>49961</xdr:rowOff>
    </xdr:from>
    <xdr:to>
      <xdr:col>2</xdr:col>
      <xdr:colOff>592475</xdr:colOff>
      <xdr:row>68</xdr:row>
      <xdr:rowOff>354402</xdr:rowOff>
    </xdr:to>
    <xdr:pic>
      <xdr:nvPicPr>
        <xdr:cNvPr id="70" name="Grafik 181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33862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62</xdr:row>
      <xdr:rowOff>53737</xdr:rowOff>
    </xdr:from>
    <xdr:to>
      <xdr:col>2</xdr:col>
      <xdr:colOff>564622</xdr:colOff>
      <xdr:row>62</xdr:row>
      <xdr:rowOff>347213</xdr:rowOff>
    </xdr:to>
    <xdr:pic>
      <xdr:nvPicPr>
        <xdr:cNvPr id="71" name="Grafik 180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9896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69</xdr:row>
      <xdr:rowOff>48883</xdr:rowOff>
    </xdr:from>
    <xdr:to>
      <xdr:col>2</xdr:col>
      <xdr:colOff>530349</xdr:colOff>
      <xdr:row>69</xdr:row>
      <xdr:rowOff>350808</xdr:rowOff>
    </xdr:to>
    <xdr:pic>
      <xdr:nvPicPr>
        <xdr:cNvPr id="72" name="Grafik 181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7851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70</xdr:row>
      <xdr:rowOff>52476</xdr:rowOff>
    </xdr:from>
    <xdr:to>
      <xdr:col>2</xdr:col>
      <xdr:colOff>549693</xdr:colOff>
      <xdr:row>70</xdr:row>
      <xdr:rowOff>354402</xdr:rowOff>
    </xdr:to>
    <xdr:pic>
      <xdr:nvPicPr>
        <xdr:cNvPr id="73" name="Grafik 181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41888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71</xdr:row>
      <xdr:rowOff>52477</xdr:rowOff>
    </xdr:from>
    <xdr:to>
      <xdr:col>2</xdr:col>
      <xdr:colOff>503461</xdr:colOff>
      <xdr:row>71</xdr:row>
      <xdr:rowOff>350808</xdr:rowOff>
    </xdr:to>
    <xdr:pic>
      <xdr:nvPicPr>
        <xdr:cNvPr id="74" name="Grafik 181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45888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72</xdr:row>
      <xdr:rowOff>47445</xdr:rowOff>
    </xdr:from>
    <xdr:to>
      <xdr:col>2</xdr:col>
      <xdr:colOff>564635</xdr:colOff>
      <xdr:row>72</xdr:row>
      <xdr:rowOff>350807</xdr:rowOff>
    </xdr:to>
    <xdr:pic>
      <xdr:nvPicPr>
        <xdr:cNvPr id="75" name="Grafik 18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9838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73</xdr:row>
      <xdr:rowOff>51039</xdr:rowOff>
    </xdr:from>
    <xdr:to>
      <xdr:col>2</xdr:col>
      <xdr:colOff>564635</xdr:colOff>
      <xdr:row>73</xdr:row>
      <xdr:rowOff>354401</xdr:rowOff>
    </xdr:to>
    <xdr:pic>
      <xdr:nvPicPr>
        <xdr:cNvPr id="76" name="Grafik 18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3875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74</xdr:row>
      <xdr:rowOff>47445</xdr:rowOff>
    </xdr:from>
    <xdr:to>
      <xdr:col>2</xdr:col>
      <xdr:colOff>564635</xdr:colOff>
      <xdr:row>74</xdr:row>
      <xdr:rowOff>350807</xdr:rowOff>
    </xdr:to>
    <xdr:pic>
      <xdr:nvPicPr>
        <xdr:cNvPr id="77" name="Grafik 18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7839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75</xdr:row>
      <xdr:rowOff>51038</xdr:rowOff>
    </xdr:from>
    <xdr:to>
      <xdr:col>2</xdr:col>
      <xdr:colOff>564635</xdr:colOff>
      <xdr:row>75</xdr:row>
      <xdr:rowOff>354400</xdr:rowOff>
    </xdr:to>
    <xdr:pic>
      <xdr:nvPicPr>
        <xdr:cNvPr id="78" name="Grafik 18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1876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76</xdr:row>
      <xdr:rowOff>51038</xdr:rowOff>
    </xdr:from>
    <xdr:to>
      <xdr:col>2</xdr:col>
      <xdr:colOff>564635</xdr:colOff>
      <xdr:row>76</xdr:row>
      <xdr:rowOff>354400</xdr:rowOff>
    </xdr:to>
    <xdr:pic>
      <xdr:nvPicPr>
        <xdr:cNvPr id="79" name="Grafik 181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65876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78</xdr:row>
      <xdr:rowOff>48883</xdr:rowOff>
    </xdr:from>
    <xdr:to>
      <xdr:col>2</xdr:col>
      <xdr:colOff>594684</xdr:colOff>
      <xdr:row>78</xdr:row>
      <xdr:rowOff>353683</xdr:rowOff>
    </xdr:to>
    <xdr:pic>
      <xdr:nvPicPr>
        <xdr:cNvPr id="80" name="Grafik 181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73856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84</xdr:row>
      <xdr:rowOff>53735</xdr:rowOff>
    </xdr:from>
    <xdr:to>
      <xdr:col>2</xdr:col>
      <xdr:colOff>588843</xdr:colOff>
      <xdr:row>84</xdr:row>
      <xdr:rowOff>350807</xdr:rowOff>
    </xdr:to>
    <xdr:pic>
      <xdr:nvPicPr>
        <xdr:cNvPr id="81" name="Grafik 10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97907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273529</xdr:colOff>
      <xdr:row>77</xdr:row>
      <xdr:rowOff>45290</xdr:rowOff>
    </xdr:from>
    <xdr:to>
      <xdr:col>2</xdr:col>
      <xdr:colOff>450164</xdr:colOff>
      <xdr:row>77</xdr:row>
      <xdr:rowOff>354402</xdr:rowOff>
    </xdr:to>
    <xdr:pic>
      <xdr:nvPicPr>
        <xdr:cNvPr id="82" name="Grafik 34"/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5460" b="20000"/>
        <a:stretch/>
      </xdr:blipFill>
      <xdr:spPr bwMode="auto">
        <a:xfrm>
          <a:off x="1568929" y="26981990"/>
          <a:ext cx="176635" cy="30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178820</xdr:colOff>
      <xdr:row>80</xdr:row>
      <xdr:rowOff>117174</xdr:rowOff>
    </xdr:from>
    <xdr:to>
      <xdr:col>2</xdr:col>
      <xdr:colOff>622332</xdr:colOff>
      <xdr:row>80</xdr:row>
      <xdr:rowOff>276044</xdr:rowOff>
    </xdr:to>
    <xdr:grpSp>
      <xdr:nvGrpSpPr>
        <xdr:cNvPr id="83" name="Gruppieren 129"/>
        <xdr:cNvGrpSpPr>
          <a:grpSpLocks/>
        </xdr:cNvGrpSpPr>
      </xdr:nvGrpSpPr>
      <xdr:grpSpPr bwMode="auto">
        <a:xfrm>
          <a:off x="1569470" y="28244499"/>
          <a:ext cx="443512" cy="158870"/>
          <a:chOff x="1849755" y="26461853"/>
          <a:chExt cx="741045" cy="307205"/>
        </a:xfrm>
      </xdr:grpSpPr>
      <xdr:pic>
        <xdr:nvPicPr>
          <xdr:cNvPr id="84" name="Grafik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5" name="Rechteck 131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279458</xdr:colOff>
      <xdr:row>81</xdr:row>
      <xdr:rowOff>47806</xdr:rowOff>
    </xdr:from>
    <xdr:to>
      <xdr:col>2</xdr:col>
      <xdr:colOff>471757</xdr:colOff>
      <xdr:row>81</xdr:row>
      <xdr:rowOff>353736</xdr:rowOff>
    </xdr:to>
    <xdr:pic>
      <xdr:nvPicPr>
        <xdr:cNvPr id="86" name="Grafik 13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3867" r="26851" b="9618"/>
        <a:stretch>
          <a:fillRect/>
        </a:stretch>
      </xdr:blipFill>
      <xdr:spPr bwMode="auto">
        <a:xfrm>
          <a:off x="1574858" y="28584706"/>
          <a:ext cx="192299" cy="30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112866</xdr:colOff>
      <xdr:row>82</xdr:row>
      <xdr:rowOff>50142</xdr:rowOff>
    </xdr:from>
    <xdr:to>
      <xdr:col>2</xdr:col>
      <xdr:colOff>645474</xdr:colOff>
      <xdr:row>82</xdr:row>
      <xdr:rowOff>350808</xdr:rowOff>
    </xdr:to>
    <xdr:pic>
      <xdr:nvPicPr>
        <xdr:cNvPr id="87" name="Grafik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3" t="16177" r="14217" b="29706"/>
        <a:stretch>
          <a:fillRect/>
        </a:stretch>
      </xdr:blipFill>
      <xdr:spPr bwMode="auto">
        <a:xfrm>
          <a:off x="1408266" y="28987092"/>
          <a:ext cx="532608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195533</xdr:colOff>
      <xdr:row>83</xdr:row>
      <xdr:rowOff>50141</xdr:rowOff>
    </xdr:from>
    <xdr:to>
      <xdr:col>2</xdr:col>
      <xdr:colOff>607876</xdr:colOff>
      <xdr:row>83</xdr:row>
      <xdr:rowOff>350808</xdr:rowOff>
    </xdr:to>
    <xdr:pic>
      <xdr:nvPicPr>
        <xdr:cNvPr id="88" name="Grafik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3" y="29387141"/>
          <a:ext cx="412343" cy="30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79</xdr:row>
      <xdr:rowOff>113401</xdr:rowOff>
    </xdr:from>
    <xdr:to>
      <xdr:col>2</xdr:col>
      <xdr:colOff>554607</xdr:colOff>
      <xdr:row>79</xdr:row>
      <xdr:rowOff>294376</xdr:rowOff>
    </xdr:to>
    <xdr:pic>
      <xdr:nvPicPr>
        <xdr:cNvPr id="89" name="Grafik 5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8502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352425</xdr:colOff>
          <xdr:row>12</xdr:row>
          <xdr:rowOff>0</xdr:rowOff>
        </xdr:to>
        <xdr:sp macro="" textlink="">
          <xdr:nvSpPr>
            <xdr:cNvPr id="5138" name="Group Box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5140" name="Option Button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7</xdr:row>
          <xdr:rowOff>9525</xdr:rowOff>
        </xdr:from>
        <xdr:to>
          <xdr:col>8</xdr:col>
          <xdr:colOff>457200</xdr:colOff>
          <xdr:row>7</xdr:row>
          <xdr:rowOff>180975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85</xdr:row>
      <xdr:rowOff>147288</xdr:rowOff>
    </xdr:from>
    <xdr:to>
      <xdr:col>2</xdr:col>
      <xdr:colOff>602047</xdr:colOff>
      <xdr:row>85</xdr:row>
      <xdr:rowOff>452470</xdr:rowOff>
    </xdr:to>
    <xdr:pic>
      <xdr:nvPicPr>
        <xdr:cNvPr id="99" name="Grafik 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300176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371476</xdr:colOff>
      <xdr:row>0</xdr:row>
      <xdr:rowOff>102469</xdr:rowOff>
    </xdr:from>
    <xdr:to>
      <xdr:col>5</xdr:col>
      <xdr:colOff>66675</xdr:colOff>
      <xdr:row>6</xdr:row>
      <xdr:rowOff>40406</xdr:rowOff>
    </xdr:to>
    <xdr:pic>
      <xdr:nvPicPr>
        <xdr:cNvPr id="90" name="Grafik 2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2" t="11410" r="7718" b="12080"/>
        <a:stretch/>
      </xdr:blipFill>
      <xdr:spPr bwMode="auto">
        <a:xfrm>
          <a:off x="1666876" y="102469"/>
          <a:ext cx="2105024" cy="149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838200</xdr:colOff>
          <xdr:row>13</xdr:row>
          <xdr:rowOff>47625</xdr:rowOff>
        </xdr:from>
        <xdr:to>
          <xdr:col>11</xdr:col>
          <xdr:colOff>885825</xdr:colOff>
          <xdr:row>13</xdr:row>
          <xdr:rowOff>95250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352425</xdr:colOff>
          <xdr:row>8</xdr:row>
          <xdr:rowOff>0</xdr:rowOff>
        </xdr:to>
        <xdr:sp macro="" textlink="">
          <xdr:nvSpPr>
            <xdr:cNvPr id="25601" name="Group Box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352425</xdr:colOff>
          <xdr:row>20</xdr:row>
          <xdr:rowOff>0</xdr:rowOff>
        </xdr:to>
        <xdr:sp macro="" textlink="">
          <xdr:nvSpPr>
            <xdr:cNvPr id="25603" name="Group Box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27</xdr:row>
      <xdr:rowOff>104878</xdr:rowOff>
    </xdr:from>
    <xdr:to>
      <xdr:col>2</xdr:col>
      <xdr:colOff>532303</xdr:colOff>
      <xdr:row>27</xdr:row>
      <xdr:rowOff>294835</xdr:rowOff>
    </xdr:to>
    <xdr:pic>
      <xdr:nvPicPr>
        <xdr:cNvPr id="6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28</xdr:row>
      <xdr:rowOff>52793</xdr:rowOff>
    </xdr:from>
    <xdr:to>
      <xdr:col>2</xdr:col>
      <xdr:colOff>584993</xdr:colOff>
      <xdr:row>28</xdr:row>
      <xdr:rowOff>347663</xdr:rowOff>
    </xdr:to>
    <xdr:pic>
      <xdr:nvPicPr>
        <xdr:cNvPr id="7" name="Grafik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29</xdr:row>
      <xdr:rowOff>47624</xdr:rowOff>
    </xdr:from>
    <xdr:to>
      <xdr:col>2</xdr:col>
      <xdr:colOff>564911</xdr:colOff>
      <xdr:row>29</xdr:row>
      <xdr:rowOff>354805</xdr:rowOff>
    </xdr:to>
    <xdr:pic>
      <xdr:nvPicPr>
        <xdr:cNvPr id="8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30</xdr:row>
      <xdr:rowOff>53975</xdr:rowOff>
    </xdr:from>
    <xdr:to>
      <xdr:col>2</xdr:col>
      <xdr:colOff>606320</xdr:colOff>
      <xdr:row>30</xdr:row>
      <xdr:rowOff>350045</xdr:rowOff>
    </xdr:to>
    <xdr:pic>
      <xdr:nvPicPr>
        <xdr:cNvPr id="9" name="Grafik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25609" name="Option Button 9" hidden="1">
              <a:extLst>
                <a:ext uri="{63B3BB69-23CF-44E3-9099-C40C66FF867C}">
                  <a14:compatExt spid="_x0000_s25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25610" name="Option Button 10" hidden="1">
              <a:extLst>
                <a:ext uri="{63B3BB69-23CF-44E3-9099-C40C66FF867C}">
                  <a14:compatExt spid="_x0000_s25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25611" name="Option Button 11" hidden="1">
              <a:extLst>
                <a:ext uri="{63B3BB69-23CF-44E3-9099-C40C66FF867C}">
                  <a14:compatExt spid="_x0000_s25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25612" name="Option Button 12" hidden="1">
              <a:extLst>
                <a:ext uri="{63B3BB69-23CF-44E3-9099-C40C66FF867C}">
                  <a14:compatExt spid="_x0000_s25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19050</xdr:rowOff>
        </xdr:from>
        <xdr:to>
          <xdr:col>10</xdr:col>
          <xdr:colOff>314325</xdr:colOff>
          <xdr:row>14</xdr:row>
          <xdr:rowOff>180975</xdr:rowOff>
        </xdr:to>
        <xdr:sp macro="" textlink="">
          <xdr:nvSpPr>
            <xdr:cNvPr id="25613" name="Option Button 13" hidden="1">
              <a:extLst>
                <a:ext uri="{63B3BB69-23CF-44E3-9099-C40C66FF867C}">
                  <a14:compatExt spid="_x0000_s25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9525</xdr:rowOff>
        </xdr:from>
        <xdr:to>
          <xdr:col>10</xdr:col>
          <xdr:colOff>314325</xdr:colOff>
          <xdr:row>15</xdr:row>
          <xdr:rowOff>171450</xdr:rowOff>
        </xdr:to>
        <xdr:sp macro="" textlink="">
          <xdr:nvSpPr>
            <xdr:cNvPr id="25614" name="Option Button 14" hidden="1">
              <a:extLst>
                <a:ext uri="{63B3BB69-23CF-44E3-9099-C40C66FF867C}">
                  <a14:compatExt spid="_x0000_s25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171450</xdr:rowOff>
        </xdr:to>
        <xdr:sp macro="" textlink="">
          <xdr:nvSpPr>
            <xdr:cNvPr id="25615" name="Option Button 15" hidden="1">
              <a:extLst>
                <a:ext uri="{63B3BB69-23CF-44E3-9099-C40C66FF867C}">
                  <a14:compatExt spid="_x0000_s2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9525</xdr:rowOff>
        </xdr:from>
        <xdr:to>
          <xdr:col>10</xdr:col>
          <xdr:colOff>314325</xdr:colOff>
          <xdr:row>17</xdr:row>
          <xdr:rowOff>171450</xdr:rowOff>
        </xdr:to>
        <xdr:sp macro="" textlink="">
          <xdr:nvSpPr>
            <xdr:cNvPr id="25616" name="Option Button 16" hidden="1">
              <a:extLst>
                <a:ext uri="{63B3BB69-23CF-44E3-9099-C40C66FF867C}">
                  <a14:compatExt spid="_x0000_s25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25617" name="Option Button 17" hidden="1">
              <a:extLst>
                <a:ext uri="{63B3BB69-23CF-44E3-9099-C40C66FF867C}">
                  <a14:compatExt spid="_x0000_s25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31</xdr:row>
      <xdr:rowOff>70450</xdr:rowOff>
    </xdr:from>
    <xdr:to>
      <xdr:col>2</xdr:col>
      <xdr:colOff>645534</xdr:colOff>
      <xdr:row>31</xdr:row>
      <xdr:rowOff>332836</xdr:rowOff>
    </xdr:to>
    <xdr:pic>
      <xdr:nvPicPr>
        <xdr:cNvPr id="28" name="Grafik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32</xdr:row>
      <xdr:rowOff>48884</xdr:rowOff>
    </xdr:from>
    <xdr:to>
      <xdr:col>2</xdr:col>
      <xdr:colOff>525673</xdr:colOff>
      <xdr:row>32</xdr:row>
      <xdr:rowOff>345541</xdr:rowOff>
    </xdr:to>
    <xdr:pic>
      <xdr:nvPicPr>
        <xdr:cNvPr id="29" name="Grafik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33</xdr:row>
      <xdr:rowOff>48882</xdr:rowOff>
    </xdr:from>
    <xdr:to>
      <xdr:col>2</xdr:col>
      <xdr:colOff>593018</xdr:colOff>
      <xdr:row>33</xdr:row>
      <xdr:rowOff>354401</xdr:rowOff>
    </xdr:to>
    <xdr:pic>
      <xdr:nvPicPr>
        <xdr:cNvPr id="30" name="Grafi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34</xdr:row>
      <xdr:rowOff>52477</xdr:rowOff>
    </xdr:from>
    <xdr:to>
      <xdr:col>2</xdr:col>
      <xdr:colOff>597559</xdr:colOff>
      <xdr:row>34</xdr:row>
      <xdr:rowOff>354402</xdr:rowOff>
    </xdr:to>
    <xdr:pic>
      <xdr:nvPicPr>
        <xdr:cNvPr id="31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35</xdr:row>
      <xdr:rowOff>49601</xdr:rowOff>
    </xdr:from>
    <xdr:to>
      <xdr:col>2</xdr:col>
      <xdr:colOff>583183</xdr:colOff>
      <xdr:row>35</xdr:row>
      <xdr:rowOff>354401</xdr:rowOff>
    </xdr:to>
    <xdr:pic>
      <xdr:nvPicPr>
        <xdr:cNvPr id="32" name="Grafik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36</xdr:row>
      <xdr:rowOff>48885</xdr:rowOff>
    </xdr:from>
    <xdr:to>
      <xdr:col>2</xdr:col>
      <xdr:colOff>611935</xdr:colOff>
      <xdr:row>36</xdr:row>
      <xdr:rowOff>357999</xdr:rowOff>
    </xdr:to>
    <xdr:pic>
      <xdr:nvPicPr>
        <xdr:cNvPr id="33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38</xdr:row>
      <xdr:rowOff>45287</xdr:rowOff>
    </xdr:from>
    <xdr:to>
      <xdr:col>2</xdr:col>
      <xdr:colOff>608342</xdr:colOff>
      <xdr:row>38</xdr:row>
      <xdr:rowOff>354400</xdr:rowOff>
    </xdr:to>
    <xdr:pic>
      <xdr:nvPicPr>
        <xdr:cNvPr id="34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39</xdr:row>
      <xdr:rowOff>57730</xdr:rowOff>
    </xdr:from>
    <xdr:to>
      <xdr:col>2</xdr:col>
      <xdr:colOff>640693</xdr:colOff>
      <xdr:row>39</xdr:row>
      <xdr:rowOff>354401</xdr:rowOff>
    </xdr:to>
    <xdr:pic>
      <xdr:nvPicPr>
        <xdr:cNvPr id="35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37</xdr:row>
      <xdr:rowOff>45290</xdr:rowOff>
    </xdr:from>
    <xdr:to>
      <xdr:col>2</xdr:col>
      <xdr:colOff>611935</xdr:colOff>
      <xdr:row>37</xdr:row>
      <xdr:rowOff>354404</xdr:rowOff>
    </xdr:to>
    <xdr:pic>
      <xdr:nvPicPr>
        <xdr:cNvPr id="36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40</xdr:row>
      <xdr:rowOff>54135</xdr:rowOff>
    </xdr:from>
    <xdr:to>
      <xdr:col>2</xdr:col>
      <xdr:colOff>640693</xdr:colOff>
      <xdr:row>40</xdr:row>
      <xdr:rowOff>350806</xdr:rowOff>
    </xdr:to>
    <xdr:pic>
      <xdr:nvPicPr>
        <xdr:cNvPr id="37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2228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177919</xdr:colOff>
      <xdr:row>43</xdr:row>
      <xdr:rowOff>50320</xdr:rowOff>
    </xdr:from>
    <xdr:to>
      <xdr:col>2</xdr:col>
      <xdr:colOff>557483</xdr:colOff>
      <xdr:row>43</xdr:row>
      <xdr:rowOff>350808</xdr:rowOff>
    </xdr:to>
    <xdr:pic>
      <xdr:nvPicPr>
        <xdr:cNvPr id="38" name="Grafik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8" t="12238" r="13945" b="8911"/>
        <a:stretch>
          <a:fillRect/>
        </a:stretch>
      </xdr:blipFill>
      <xdr:spPr bwMode="auto">
        <a:xfrm>
          <a:off x="1473319" y="13118620"/>
          <a:ext cx="379564" cy="30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41</xdr:row>
      <xdr:rowOff>59666</xdr:rowOff>
    </xdr:from>
    <xdr:to>
      <xdr:col>2</xdr:col>
      <xdr:colOff>567905</xdr:colOff>
      <xdr:row>41</xdr:row>
      <xdr:rowOff>345416</xdr:rowOff>
    </xdr:to>
    <xdr:pic>
      <xdr:nvPicPr>
        <xdr:cNvPr id="39" name="Grafik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44</xdr:row>
      <xdr:rowOff>52478</xdr:rowOff>
    </xdr:from>
    <xdr:to>
      <xdr:col>2</xdr:col>
      <xdr:colOff>575814</xdr:colOff>
      <xdr:row>44</xdr:row>
      <xdr:rowOff>347753</xdr:rowOff>
    </xdr:to>
    <xdr:pic>
      <xdr:nvPicPr>
        <xdr:cNvPr id="41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52082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45</xdr:row>
      <xdr:rowOff>52477</xdr:rowOff>
    </xdr:from>
    <xdr:to>
      <xdr:col>2</xdr:col>
      <xdr:colOff>575814</xdr:colOff>
      <xdr:row>45</xdr:row>
      <xdr:rowOff>347752</xdr:rowOff>
    </xdr:to>
    <xdr:pic>
      <xdr:nvPicPr>
        <xdr:cNvPr id="43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2087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238482</xdr:colOff>
      <xdr:row>47</xdr:row>
      <xdr:rowOff>53734</xdr:rowOff>
    </xdr:from>
    <xdr:to>
      <xdr:col>2</xdr:col>
      <xdr:colOff>515657</xdr:colOff>
      <xdr:row>47</xdr:row>
      <xdr:rowOff>347213</xdr:rowOff>
    </xdr:to>
    <xdr:pic>
      <xdr:nvPicPr>
        <xdr:cNvPr id="44" name="Grafik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4" t="4420" r="20264" b="1717"/>
        <a:stretch>
          <a:fillRect/>
        </a:stretch>
      </xdr:blipFill>
      <xdr:spPr bwMode="auto">
        <a:xfrm>
          <a:off x="1533882" y="14722234"/>
          <a:ext cx="277175" cy="29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48</xdr:row>
      <xdr:rowOff>53736</xdr:rowOff>
    </xdr:from>
    <xdr:to>
      <xdr:col>2</xdr:col>
      <xdr:colOff>597556</xdr:colOff>
      <xdr:row>48</xdr:row>
      <xdr:rowOff>355164</xdr:rowOff>
    </xdr:to>
    <xdr:pic>
      <xdr:nvPicPr>
        <xdr:cNvPr id="45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2228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46</xdr:row>
      <xdr:rowOff>51008</xdr:rowOff>
    </xdr:from>
    <xdr:to>
      <xdr:col>2</xdr:col>
      <xdr:colOff>514890</xdr:colOff>
      <xdr:row>46</xdr:row>
      <xdr:rowOff>347214</xdr:rowOff>
    </xdr:to>
    <xdr:pic>
      <xdr:nvPicPr>
        <xdr:cNvPr id="46" name="Grafik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1945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49</xdr:row>
      <xdr:rowOff>50141</xdr:rowOff>
    </xdr:from>
    <xdr:to>
      <xdr:col>2</xdr:col>
      <xdr:colOff>597556</xdr:colOff>
      <xdr:row>49</xdr:row>
      <xdr:rowOff>351569</xdr:rowOff>
    </xdr:to>
    <xdr:pic>
      <xdr:nvPicPr>
        <xdr:cNvPr id="47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1874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50</xdr:row>
      <xdr:rowOff>53735</xdr:rowOff>
    </xdr:from>
    <xdr:to>
      <xdr:col>2</xdr:col>
      <xdr:colOff>597556</xdr:colOff>
      <xdr:row>50</xdr:row>
      <xdr:rowOff>355163</xdr:rowOff>
    </xdr:to>
    <xdr:pic>
      <xdr:nvPicPr>
        <xdr:cNvPr id="48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2238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51</xdr:row>
      <xdr:rowOff>50140</xdr:rowOff>
    </xdr:from>
    <xdr:to>
      <xdr:col>2</xdr:col>
      <xdr:colOff>597556</xdr:colOff>
      <xdr:row>51</xdr:row>
      <xdr:rowOff>351568</xdr:rowOff>
    </xdr:to>
    <xdr:pic>
      <xdr:nvPicPr>
        <xdr:cNvPr id="49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1884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52</xdr:row>
      <xdr:rowOff>52478</xdr:rowOff>
    </xdr:from>
    <xdr:to>
      <xdr:col>2</xdr:col>
      <xdr:colOff>588516</xdr:colOff>
      <xdr:row>52</xdr:row>
      <xdr:rowOff>347214</xdr:rowOff>
    </xdr:to>
    <xdr:pic>
      <xdr:nvPicPr>
        <xdr:cNvPr id="50" name="Grafik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672122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54</xdr:row>
      <xdr:rowOff>53736</xdr:rowOff>
    </xdr:from>
    <xdr:to>
      <xdr:col>2</xdr:col>
      <xdr:colOff>554074</xdr:colOff>
      <xdr:row>54</xdr:row>
      <xdr:rowOff>350807</xdr:rowOff>
    </xdr:to>
    <xdr:pic>
      <xdr:nvPicPr>
        <xdr:cNvPr id="51" name="Grafik 180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2258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56</xdr:row>
      <xdr:rowOff>47805</xdr:rowOff>
    </xdr:from>
    <xdr:to>
      <xdr:col>2</xdr:col>
      <xdr:colOff>569077</xdr:colOff>
      <xdr:row>56</xdr:row>
      <xdr:rowOff>354402</xdr:rowOff>
    </xdr:to>
    <xdr:pic>
      <xdr:nvPicPr>
        <xdr:cNvPr id="52" name="Grafik 18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1675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57</xdr:row>
      <xdr:rowOff>57330</xdr:rowOff>
    </xdr:from>
    <xdr:to>
      <xdr:col>2</xdr:col>
      <xdr:colOff>629917</xdr:colOff>
      <xdr:row>57</xdr:row>
      <xdr:rowOff>347214</xdr:rowOff>
    </xdr:to>
    <xdr:pic>
      <xdr:nvPicPr>
        <xdr:cNvPr id="53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2633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53</xdr:row>
      <xdr:rowOff>50139</xdr:rowOff>
    </xdr:from>
    <xdr:to>
      <xdr:col>2</xdr:col>
      <xdr:colOff>524416</xdr:colOff>
      <xdr:row>53</xdr:row>
      <xdr:rowOff>354402</xdr:rowOff>
    </xdr:to>
    <xdr:pic>
      <xdr:nvPicPr>
        <xdr:cNvPr id="54" name="Grafik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1893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58</xdr:row>
      <xdr:rowOff>48883</xdr:rowOff>
    </xdr:from>
    <xdr:to>
      <xdr:col>2</xdr:col>
      <xdr:colOff>477051</xdr:colOff>
      <xdr:row>58</xdr:row>
      <xdr:rowOff>350807</xdr:rowOff>
    </xdr:to>
    <xdr:pic>
      <xdr:nvPicPr>
        <xdr:cNvPr id="55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1793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59</xdr:row>
      <xdr:rowOff>52478</xdr:rowOff>
    </xdr:from>
    <xdr:to>
      <xdr:col>2</xdr:col>
      <xdr:colOff>477051</xdr:colOff>
      <xdr:row>59</xdr:row>
      <xdr:rowOff>354402</xdr:rowOff>
    </xdr:to>
    <xdr:pic>
      <xdr:nvPicPr>
        <xdr:cNvPr id="56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2157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60</xdr:row>
      <xdr:rowOff>52478</xdr:rowOff>
    </xdr:from>
    <xdr:to>
      <xdr:col>2</xdr:col>
      <xdr:colOff>600642</xdr:colOff>
      <xdr:row>60</xdr:row>
      <xdr:rowOff>350808</xdr:rowOff>
    </xdr:to>
    <xdr:pic>
      <xdr:nvPicPr>
        <xdr:cNvPr id="57" name="Grafik 180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2162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187986</xdr:colOff>
      <xdr:row>63</xdr:row>
      <xdr:rowOff>56072</xdr:rowOff>
    </xdr:from>
    <xdr:to>
      <xdr:col>2</xdr:col>
      <xdr:colOff>568040</xdr:colOff>
      <xdr:row>63</xdr:row>
      <xdr:rowOff>350808</xdr:rowOff>
    </xdr:to>
    <xdr:pic>
      <xdr:nvPicPr>
        <xdr:cNvPr id="58" name="Grafik 18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5" t="15685" r="19672" b="16676"/>
        <a:stretch>
          <a:fillRect/>
        </a:stretch>
      </xdr:blipFill>
      <xdr:spPr bwMode="auto">
        <a:xfrm>
          <a:off x="1483386" y="21125372"/>
          <a:ext cx="380054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159055</xdr:colOff>
      <xdr:row>64</xdr:row>
      <xdr:rowOff>47625</xdr:rowOff>
    </xdr:from>
    <xdr:to>
      <xdr:col>2</xdr:col>
      <xdr:colOff>619221</xdr:colOff>
      <xdr:row>64</xdr:row>
      <xdr:rowOff>354402</xdr:rowOff>
    </xdr:to>
    <xdr:pic>
      <xdr:nvPicPr>
        <xdr:cNvPr id="59" name="Grafik 18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9" t="17393" r="1051" b="7680"/>
        <a:stretch>
          <a:fillRect/>
        </a:stretch>
      </xdr:blipFill>
      <xdr:spPr bwMode="auto">
        <a:xfrm>
          <a:off x="1454455" y="21516975"/>
          <a:ext cx="460166" cy="30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135508</xdr:colOff>
      <xdr:row>65</xdr:row>
      <xdr:rowOff>53554</xdr:rowOff>
    </xdr:from>
    <xdr:to>
      <xdr:col>2</xdr:col>
      <xdr:colOff>607142</xdr:colOff>
      <xdr:row>65</xdr:row>
      <xdr:rowOff>347213</xdr:rowOff>
    </xdr:to>
    <xdr:pic>
      <xdr:nvPicPr>
        <xdr:cNvPr id="60" name="Grafik 18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3" t="22664" r="17278" b="20187"/>
        <a:stretch>
          <a:fillRect/>
        </a:stretch>
      </xdr:blipFill>
      <xdr:spPr bwMode="auto">
        <a:xfrm>
          <a:off x="1430908" y="21922954"/>
          <a:ext cx="471634" cy="29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66</xdr:row>
      <xdr:rowOff>50143</xdr:rowOff>
    </xdr:from>
    <xdr:to>
      <xdr:col>2</xdr:col>
      <xdr:colOff>496724</xdr:colOff>
      <xdr:row>66</xdr:row>
      <xdr:rowOff>350809</xdr:rowOff>
    </xdr:to>
    <xdr:pic>
      <xdr:nvPicPr>
        <xdr:cNvPr id="61" name="Grafik 18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1959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67</xdr:row>
      <xdr:rowOff>49961</xdr:rowOff>
    </xdr:from>
    <xdr:to>
      <xdr:col>2</xdr:col>
      <xdr:colOff>592475</xdr:colOff>
      <xdr:row>67</xdr:row>
      <xdr:rowOff>354402</xdr:rowOff>
    </xdr:to>
    <xdr:pic>
      <xdr:nvPicPr>
        <xdr:cNvPr id="62" name="Grafik 181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1946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61</xdr:row>
      <xdr:rowOff>53737</xdr:rowOff>
    </xdr:from>
    <xdr:to>
      <xdr:col>2</xdr:col>
      <xdr:colOff>564622</xdr:colOff>
      <xdr:row>61</xdr:row>
      <xdr:rowOff>347213</xdr:rowOff>
    </xdr:to>
    <xdr:pic>
      <xdr:nvPicPr>
        <xdr:cNvPr id="63" name="Grafik 180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2293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68</xdr:row>
      <xdr:rowOff>48883</xdr:rowOff>
    </xdr:from>
    <xdr:to>
      <xdr:col>2</xdr:col>
      <xdr:colOff>530349</xdr:colOff>
      <xdr:row>68</xdr:row>
      <xdr:rowOff>350808</xdr:rowOff>
    </xdr:to>
    <xdr:pic>
      <xdr:nvPicPr>
        <xdr:cNvPr id="64" name="Grafik 181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1843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69</xdr:row>
      <xdr:rowOff>52476</xdr:rowOff>
    </xdr:from>
    <xdr:to>
      <xdr:col>2</xdr:col>
      <xdr:colOff>549693</xdr:colOff>
      <xdr:row>69</xdr:row>
      <xdr:rowOff>354402</xdr:rowOff>
    </xdr:to>
    <xdr:pic>
      <xdr:nvPicPr>
        <xdr:cNvPr id="65" name="Grafik 18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2207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70</xdr:row>
      <xdr:rowOff>52477</xdr:rowOff>
    </xdr:from>
    <xdr:to>
      <xdr:col>2</xdr:col>
      <xdr:colOff>503461</xdr:colOff>
      <xdr:row>70</xdr:row>
      <xdr:rowOff>350808</xdr:rowOff>
    </xdr:to>
    <xdr:pic>
      <xdr:nvPicPr>
        <xdr:cNvPr id="66" name="Grafik 18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2212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71</xdr:row>
      <xdr:rowOff>47445</xdr:rowOff>
    </xdr:from>
    <xdr:to>
      <xdr:col>2</xdr:col>
      <xdr:colOff>564635</xdr:colOff>
      <xdr:row>71</xdr:row>
      <xdr:rowOff>350807</xdr:rowOff>
    </xdr:to>
    <xdr:pic>
      <xdr:nvPicPr>
        <xdr:cNvPr id="67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171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72</xdr:row>
      <xdr:rowOff>51039</xdr:rowOff>
    </xdr:from>
    <xdr:to>
      <xdr:col>2</xdr:col>
      <xdr:colOff>564635</xdr:colOff>
      <xdr:row>72</xdr:row>
      <xdr:rowOff>354401</xdr:rowOff>
    </xdr:to>
    <xdr:pic>
      <xdr:nvPicPr>
        <xdr:cNvPr id="68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2078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73</xdr:row>
      <xdr:rowOff>47445</xdr:rowOff>
    </xdr:from>
    <xdr:to>
      <xdr:col>2</xdr:col>
      <xdr:colOff>564635</xdr:colOff>
      <xdr:row>73</xdr:row>
      <xdr:rowOff>350807</xdr:rowOff>
    </xdr:to>
    <xdr:pic>
      <xdr:nvPicPr>
        <xdr:cNvPr id="69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1724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74</xdr:row>
      <xdr:rowOff>51038</xdr:rowOff>
    </xdr:from>
    <xdr:to>
      <xdr:col>2</xdr:col>
      <xdr:colOff>564635</xdr:colOff>
      <xdr:row>74</xdr:row>
      <xdr:rowOff>354400</xdr:rowOff>
    </xdr:to>
    <xdr:pic>
      <xdr:nvPicPr>
        <xdr:cNvPr id="70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75</xdr:row>
      <xdr:rowOff>51038</xdr:rowOff>
    </xdr:from>
    <xdr:to>
      <xdr:col>2</xdr:col>
      <xdr:colOff>564635</xdr:colOff>
      <xdr:row>75</xdr:row>
      <xdr:rowOff>354400</xdr:rowOff>
    </xdr:to>
    <xdr:pic>
      <xdr:nvPicPr>
        <xdr:cNvPr id="71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209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77</xdr:row>
      <xdr:rowOff>48883</xdr:rowOff>
    </xdr:from>
    <xdr:to>
      <xdr:col>2</xdr:col>
      <xdr:colOff>594684</xdr:colOff>
      <xdr:row>77</xdr:row>
      <xdr:rowOff>353683</xdr:rowOff>
    </xdr:to>
    <xdr:pic>
      <xdr:nvPicPr>
        <xdr:cNvPr id="72" name="Grafik 18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1888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81</xdr:row>
      <xdr:rowOff>53735</xdr:rowOff>
    </xdr:from>
    <xdr:to>
      <xdr:col>2</xdr:col>
      <xdr:colOff>588843</xdr:colOff>
      <xdr:row>81</xdr:row>
      <xdr:rowOff>350807</xdr:rowOff>
    </xdr:to>
    <xdr:pic>
      <xdr:nvPicPr>
        <xdr:cNvPr id="73" name="Grafik 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2393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273529</xdr:colOff>
      <xdr:row>76</xdr:row>
      <xdr:rowOff>45290</xdr:rowOff>
    </xdr:from>
    <xdr:to>
      <xdr:col>2</xdr:col>
      <xdr:colOff>450164</xdr:colOff>
      <xdr:row>76</xdr:row>
      <xdr:rowOff>354402</xdr:rowOff>
    </xdr:to>
    <xdr:pic>
      <xdr:nvPicPr>
        <xdr:cNvPr id="74" name="Grafik 34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5460" b="20000"/>
        <a:stretch/>
      </xdr:blipFill>
      <xdr:spPr bwMode="auto">
        <a:xfrm>
          <a:off x="1568929" y="26315240"/>
          <a:ext cx="176635" cy="30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178820</xdr:colOff>
      <xdr:row>79</xdr:row>
      <xdr:rowOff>117174</xdr:rowOff>
    </xdr:from>
    <xdr:to>
      <xdr:col>2</xdr:col>
      <xdr:colOff>622332</xdr:colOff>
      <xdr:row>79</xdr:row>
      <xdr:rowOff>276044</xdr:rowOff>
    </xdr:to>
    <xdr:grpSp>
      <xdr:nvGrpSpPr>
        <xdr:cNvPr id="75" name="Gruppieren 129"/>
        <xdr:cNvGrpSpPr>
          <a:grpSpLocks/>
        </xdr:cNvGrpSpPr>
      </xdr:nvGrpSpPr>
      <xdr:grpSpPr bwMode="auto">
        <a:xfrm>
          <a:off x="1569470" y="27858737"/>
          <a:ext cx="443512" cy="158870"/>
          <a:chOff x="1849755" y="26461853"/>
          <a:chExt cx="741045" cy="307205"/>
        </a:xfrm>
      </xdr:grpSpPr>
      <xdr:pic>
        <xdr:nvPicPr>
          <xdr:cNvPr id="76" name="Grafik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" name="Rechteck 131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279458</xdr:colOff>
      <xdr:row>80</xdr:row>
      <xdr:rowOff>47806</xdr:rowOff>
    </xdr:from>
    <xdr:to>
      <xdr:col>2</xdr:col>
      <xdr:colOff>471757</xdr:colOff>
      <xdr:row>80</xdr:row>
      <xdr:rowOff>353736</xdr:rowOff>
    </xdr:to>
    <xdr:pic>
      <xdr:nvPicPr>
        <xdr:cNvPr id="78" name="Grafik 1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3867" r="26851" b="9618"/>
        <a:stretch>
          <a:fillRect/>
        </a:stretch>
      </xdr:blipFill>
      <xdr:spPr bwMode="auto">
        <a:xfrm>
          <a:off x="1574858" y="27917956"/>
          <a:ext cx="192299" cy="30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78</xdr:row>
      <xdr:rowOff>113401</xdr:rowOff>
    </xdr:from>
    <xdr:to>
      <xdr:col>2</xdr:col>
      <xdr:colOff>554607</xdr:colOff>
      <xdr:row>78</xdr:row>
      <xdr:rowOff>294376</xdr:rowOff>
    </xdr:to>
    <xdr:pic>
      <xdr:nvPicPr>
        <xdr:cNvPr id="79" name="Grafik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8345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352425</xdr:colOff>
          <xdr:row>12</xdr:row>
          <xdr:rowOff>0</xdr:rowOff>
        </xdr:to>
        <xdr:sp macro="" textlink="">
          <xdr:nvSpPr>
            <xdr:cNvPr id="25618" name="Group Box 18" hidden="1">
              <a:extLst>
                <a:ext uri="{63B3BB69-23CF-44E3-9099-C40C66FF867C}">
                  <a14:compatExt spid="_x0000_s25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19050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25619" name="Option Button 19" hidden="1">
              <a:extLst>
                <a:ext uri="{63B3BB69-23CF-44E3-9099-C40C66FF867C}">
                  <a14:compatExt spid="_x0000_s25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609600</xdr:colOff>
          <xdr:row>12</xdr:row>
          <xdr:rowOff>0</xdr:rowOff>
        </xdr:to>
        <xdr:sp macro="" textlink="">
          <xdr:nvSpPr>
            <xdr:cNvPr id="25620" name="Option Button 20" hidden="1">
              <a:extLst>
                <a:ext uri="{63B3BB69-23CF-44E3-9099-C40C66FF867C}">
                  <a14:compatExt spid="_x0000_s25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7</xdr:row>
          <xdr:rowOff>9525</xdr:rowOff>
        </xdr:from>
        <xdr:to>
          <xdr:col>8</xdr:col>
          <xdr:colOff>457200</xdr:colOff>
          <xdr:row>7</xdr:row>
          <xdr:rowOff>180975</xdr:rowOff>
        </xdr:to>
        <xdr:sp macro="" textlink="">
          <xdr:nvSpPr>
            <xdr:cNvPr id="25624" name="Option Button 24" hidden="1">
              <a:extLst>
                <a:ext uri="{63B3BB69-23CF-44E3-9099-C40C66FF867C}">
                  <a14:compatExt spid="_x0000_s25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25625" name="Option Button 25" hidden="1">
              <a:extLst>
                <a:ext uri="{63B3BB69-23CF-44E3-9099-C40C66FF867C}">
                  <a14:compatExt spid="_x0000_s25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82</xdr:row>
      <xdr:rowOff>166338</xdr:rowOff>
    </xdr:from>
    <xdr:to>
      <xdr:col>2</xdr:col>
      <xdr:colOff>602047</xdr:colOff>
      <xdr:row>82</xdr:row>
      <xdr:rowOff>471520</xdr:rowOff>
    </xdr:to>
    <xdr:pic>
      <xdr:nvPicPr>
        <xdr:cNvPr id="89" name="Grafik 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13</xdr:row>
          <xdr:rowOff>95250</xdr:rowOff>
        </xdr:from>
        <xdr:to>
          <xdr:col>12</xdr:col>
          <xdr:colOff>180975</xdr:colOff>
          <xdr:row>13</xdr:row>
          <xdr:rowOff>142875</xdr:rowOff>
        </xdr:to>
        <xdr:sp macro="" textlink="">
          <xdr:nvSpPr>
            <xdr:cNvPr id="25627" name="Option Button 27" hidden="1">
              <a:extLst>
                <a:ext uri="{63B3BB69-23CF-44E3-9099-C40C66FF867C}">
                  <a14:compatExt spid="_x0000_s25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26</xdr:row>
      <xdr:rowOff>52477</xdr:rowOff>
    </xdr:from>
    <xdr:to>
      <xdr:col>2</xdr:col>
      <xdr:colOff>568804</xdr:colOff>
      <xdr:row>26</xdr:row>
      <xdr:rowOff>354256</xdr:rowOff>
    </xdr:to>
    <xdr:pic>
      <xdr:nvPicPr>
        <xdr:cNvPr id="93" name="Grafik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96612</xdr:colOff>
      <xdr:row>62</xdr:row>
      <xdr:rowOff>54430</xdr:rowOff>
    </xdr:from>
    <xdr:to>
      <xdr:col>2</xdr:col>
      <xdr:colOff>651783</xdr:colOff>
      <xdr:row>62</xdr:row>
      <xdr:rowOff>353368</xdr:rowOff>
    </xdr:to>
    <xdr:pic>
      <xdr:nvPicPr>
        <xdr:cNvPr id="94" name="Grafik 180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20723680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134994</xdr:colOff>
      <xdr:row>23</xdr:row>
      <xdr:rowOff>80410</xdr:rowOff>
    </xdr:from>
    <xdr:to>
      <xdr:col>2</xdr:col>
      <xdr:colOff>622922</xdr:colOff>
      <xdr:row>23</xdr:row>
      <xdr:rowOff>322358</xdr:rowOff>
    </xdr:to>
    <xdr:pic>
      <xdr:nvPicPr>
        <xdr:cNvPr id="95" name="Grafik 10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3" t="10518" r="7292" b="28365"/>
        <a:stretch>
          <a:fillRect/>
        </a:stretch>
      </xdr:blipFill>
      <xdr:spPr bwMode="auto">
        <a:xfrm>
          <a:off x="1430394" y="5147710"/>
          <a:ext cx="487928" cy="241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60531</xdr:colOff>
      <xdr:row>24</xdr:row>
      <xdr:rowOff>87012</xdr:rowOff>
    </xdr:from>
    <xdr:to>
      <xdr:col>2</xdr:col>
      <xdr:colOff>685976</xdr:colOff>
      <xdr:row>24</xdr:row>
      <xdr:rowOff>304801</xdr:rowOff>
    </xdr:to>
    <xdr:pic>
      <xdr:nvPicPr>
        <xdr:cNvPr id="96" name="Grafik 95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9" t="28117" r="6544" b="25198"/>
        <a:stretch>
          <a:fillRect/>
        </a:stretch>
      </xdr:blipFill>
      <xdr:spPr bwMode="auto">
        <a:xfrm>
          <a:off x="1355931" y="5554362"/>
          <a:ext cx="625445" cy="217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70930</xdr:colOff>
      <xdr:row>42</xdr:row>
      <xdr:rowOff>59390</xdr:rowOff>
    </xdr:from>
    <xdr:to>
      <xdr:col>2</xdr:col>
      <xdr:colOff>668407</xdr:colOff>
      <xdr:row>42</xdr:row>
      <xdr:rowOff>353799</xdr:rowOff>
    </xdr:to>
    <xdr:pic>
      <xdr:nvPicPr>
        <xdr:cNvPr id="97" name="Grafik 11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285" r="3975" b="14796"/>
        <a:stretch>
          <a:fillRect/>
        </a:stretch>
      </xdr:blipFill>
      <xdr:spPr bwMode="auto">
        <a:xfrm>
          <a:off x="1366330" y="12727640"/>
          <a:ext cx="597477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194057</xdr:colOff>
      <xdr:row>55</xdr:row>
      <xdr:rowOff>56371</xdr:rowOff>
    </xdr:from>
    <xdr:to>
      <xdr:col>2</xdr:col>
      <xdr:colOff>587652</xdr:colOff>
      <xdr:row>55</xdr:row>
      <xdr:rowOff>355503</xdr:rowOff>
    </xdr:to>
    <xdr:pic>
      <xdr:nvPicPr>
        <xdr:cNvPr id="98" name="Grafik 180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457" y="17925271"/>
          <a:ext cx="393595" cy="299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186664</xdr:colOff>
      <xdr:row>25</xdr:row>
      <xdr:rowOff>55545</xdr:rowOff>
    </xdr:from>
    <xdr:to>
      <xdr:col>2</xdr:col>
      <xdr:colOff>533534</xdr:colOff>
      <xdr:row>25</xdr:row>
      <xdr:rowOff>342091</xdr:rowOff>
    </xdr:to>
    <xdr:pic>
      <xdr:nvPicPr>
        <xdr:cNvPr id="99" name="Grafik 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77" t="23737" r="18845" b="13014"/>
        <a:stretch>
          <a:fillRect/>
        </a:stretch>
      </xdr:blipFill>
      <xdr:spPr bwMode="auto">
        <a:xfrm>
          <a:off x="1482064" y="5922945"/>
          <a:ext cx="346870" cy="28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41081</xdr:colOff>
      <xdr:row>0</xdr:row>
      <xdr:rowOff>287953</xdr:rowOff>
    </xdr:from>
    <xdr:to>
      <xdr:col>5</xdr:col>
      <xdr:colOff>257175</xdr:colOff>
      <xdr:row>5</xdr:row>
      <xdr:rowOff>142875</xdr:rowOff>
    </xdr:to>
    <xdr:pic>
      <xdr:nvPicPr>
        <xdr:cNvPr id="90" name="Grafik 99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87" b="24370"/>
        <a:stretch/>
      </xdr:blipFill>
      <xdr:spPr bwMode="auto">
        <a:xfrm>
          <a:off x="1336481" y="287953"/>
          <a:ext cx="2625919" cy="118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25630" name="Option Button 30" hidden="1">
              <a:extLst>
                <a:ext uri="{63B3BB69-23CF-44E3-9099-C40C66FF867C}">
                  <a14:compatExt spid="_x0000_s25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342900</xdr:colOff>
          <xdr:row>8</xdr:row>
          <xdr:rowOff>0</xdr:rowOff>
        </xdr:to>
        <xdr:sp macro="" textlink="">
          <xdr:nvSpPr>
            <xdr:cNvPr id="15361" name="Group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342900</xdr:colOff>
          <xdr:row>20</xdr:row>
          <xdr:rowOff>0</xdr:rowOff>
        </xdr:to>
        <xdr:sp macro="" textlink="">
          <xdr:nvSpPr>
            <xdr:cNvPr id="15363" name="Group Box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186692</xdr:colOff>
      <xdr:row>25</xdr:row>
      <xdr:rowOff>114403</xdr:rowOff>
    </xdr:from>
    <xdr:to>
      <xdr:col>2</xdr:col>
      <xdr:colOff>541828</xdr:colOff>
      <xdr:row>25</xdr:row>
      <xdr:rowOff>304360</xdr:rowOff>
    </xdr:to>
    <xdr:pic>
      <xdr:nvPicPr>
        <xdr:cNvPr id="6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64681" y="589921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195470</xdr:colOff>
      <xdr:row>26</xdr:row>
      <xdr:rowOff>62318</xdr:rowOff>
    </xdr:from>
    <xdr:to>
      <xdr:col>2</xdr:col>
      <xdr:colOff>594518</xdr:colOff>
      <xdr:row>26</xdr:row>
      <xdr:rowOff>357188</xdr:rowOff>
    </xdr:to>
    <xdr:pic>
      <xdr:nvPicPr>
        <xdr:cNvPr id="7" name="Grafik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870" y="632976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206270</xdr:colOff>
      <xdr:row>27</xdr:row>
      <xdr:rowOff>57149</xdr:rowOff>
    </xdr:from>
    <xdr:to>
      <xdr:col>2</xdr:col>
      <xdr:colOff>574436</xdr:colOff>
      <xdr:row>27</xdr:row>
      <xdr:rowOff>364330</xdr:rowOff>
    </xdr:to>
    <xdr:pic>
      <xdr:nvPicPr>
        <xdr:cNvPr id="8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01670" y="672464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171740</xdr:colOff>
      <xdr:row>28</xdr:row>
      <xdr:rowOff>63500</xdr:rowOff>
    </xdr:from>
    <xdr:to>
      <xdr:col>2</xdr:col>
      <xdr:colOff>615845</xdr:colOff>
      <xdr:row>28</xdr:row>
      <xdr:rowOff>359570</xdr:rowOff>
    </xdr:to>
    <xdr:pic>
      <xdr:nvPicPr>
        <xdr:cNvPr id="9" name="Grafik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140" y="713105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15370" name="Option Button 10" hidden="1">
              <a:extLst>
                <a:ext uri="{63B3BB69-23CF-44E3-9099-C40C66FF867C}">
                  <a14:compatExt spid="_x0000_s1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15371" name="Option Button 11" hidden="1">
              <a:extLst>
                <a:ext uri="{63B3BB69-23CF-44E3-9099-C40C66FF867C}">
                  <a14:compatExt spid="_x0000_s1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15372" name="Option Button 12" hidden="1">
              <a:extLst>
                <a:ext uri="{63B3BB69-23CF-44E3-9099-C40C66FF867C}">
                  <a14:compatExt spid="_x0000_s1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19050</xdr:rowOff>
        </xdr:from>
        <xdr:to>
          <xdr:col>10</xdr:col>
          <xdr:colOff>314325</xdr:colOff>
          <xdr:row>14</xdr:row>
          <xdr:rowOff>180975</xdr:rowOff>
        </xdr:to>
        <xdr:sp macro="" textlink="">
          <xdr:nvSpPr>
            <xdr:cNvPr id="15373" name="Option Button 13" hidden="1">
              <a:extLst>
                <a:ext uri="{63B3BB69-23CF-44E3-9099-C40C66FF867C}">
                  <a14:compatExt spid="_x0000_s1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9525</xdr:rowOff>
        </xdr:from>
        <xdr:to>
          <xdr:col>10</xdr:col>
          <xdr:colOff>314325</xdr:colOff>
          <xdr:row>15</xdr:row>
          <xdr:rowOff>171450</xdr:rowOff>
        </xdr:to>
        <xdr:sp macro="" textlink="">
          <xdr:nvSpPr>
            <xdr:cNvPr id="15374" name="Option Button 14" hidden="1">
              <a:extLst>
                <a:ext uri="{63B3BB69-23CF-44E3-9099-C40C66FF867C}">
                  <a14:compatExt spid="_x0000_s1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171450</xdr:rowOff>
        </xdr:to>
        <xdr:sp macro="" textlink="">
          <xdr:nvSpPr>
            <xdr:cNvPr id="15375" name="Option Button 15" hidden="1">
              <a:extLst>
                <a:ext uri="{63B3BB69-23CF-44E3-9099-C40C66FF867C}">
                  <a14:compatExt spid="_x0000_s1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9525</xdr:rowOff>
        </xdr:from>
        <xdr:to>
          <xdr:col>10</xdr:col>
          <xdr:colOff>314325</xdr:colOff>
          <xdr:row>17</xdr:row>
          <xdr:rowOff>171450</xdr:rowOff>
        </xdr:to>
        <xdr:sp macro="" textlink="">
          <xdr:nvSpPr>
            <xdr:cNvPr id="15376" name="Option Button 16" hidden="1">
              <a:extLst>
                <a:ext uri="{63B3BB69-23CF-44E3-9099-C40C66FF867C}">
                  <a14:compatExt spid="_x0000_s15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15377" name="Option Button 17" hidden="1">
              <a:extLst>
                <a:ext uri="{63B3BB69-23CF-44E3-9099-C40C66FF867C}">
                  <a14:compatExt spid="_x0000_s1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107471</xdr:colOff>
      <xdr:row>29</xdr:row>
      <xdr:rowOff>79975</xdr:rowOff>
    </xdr:from>
    <xdr:to>
      <xdr:col>2</xdr:col>
      <xdr:colOff>655059</xdr:colOff>
      <xdr:row>29</xdr:row>
      <xdr:rowOff>342361</xdr:rowOff>
    </xdr:to>
    <xdr:pic>
      <xdr:nvPicPr>
        <xdr:cNvPr id="28" name="Grafik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2871" y="754757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208114</xdr:colOff>
      <xdr:row>30</xdr:row>
      <xdr:rowOff>58409</xdr:rowOff>
    </xdr:from>
    <xdr:to>
      <xdr:col>2</xdr:col>
      <xdr:colOff>535198</xdr:colOff>
      <xdr:row>30</xdr:row>
      <xdr:rowOff>355066</xdr:rowOff>
    </xdr:to>
    <xdr:pic>
      <xdr:nvPicPr>
        <xdr:cNvPr id="29" name="Grafik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03514" y="792605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136225</xdr:colOff>
      <xdr:row>31</xdr:row>
      <xdr:rowOff>58407</xdr:rowOff>
    </xdr:from>
    <xdr:to>
      <xdr:col>2</xdr:col>
      <xdr:colOff>602543</xdr:colOff>
      <xdr:row>31</xdr:row>
      <xdr:rowOff>363926</xdr:rowOff>
    </xdr:to>
    <xdr:pic>
      <xdr:nvPicPr>
        <xdr:cNvPr id="30" name="Grafi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31625" y="832610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181293</xdr:colOff>
      <xdr:row>32</xdr:row>
      <xdr:rowOff>62002</xdr:rowOff>
    </xdr:from>
    <xdr:to>
      <xdr:col>2</xdr:col>
      <xdr:colOff>607084</xdr:colOff>
      <xdr:row>32</xdr:row>
      <xdr:rowOff>363927</xdr:rowOff>
    </xdr:to>
    <xdr:pic>
      <xdr:nvPicPr>
        <xdr:cNvPr id="31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76693" y="872975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183133</xdr:colOff>
      <xdr:row>33</xdr:row>
      <xdr:rowOff>59126</xdr:rowOff>
    </xdr:from>
    <xdr:to>
      <xdr:col>2</xdr:col>
      <xdr:colOff>592708</xdr:colOff>
      <xdr:row>33</xdr:row>
      <xdr:rowOff>363926</xdr:rowOff>
    </xdr:to>
    <xdr:pic>
      <xdr:nvPicPr>
        <xdr:cNvPr id="32" name="Grafik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78533" y="912692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34</xdr:row>
      <xdr:rowOff>58410</xdr:rowOff>
    </xdr:from>
    <xdr:to>
      <xdr:col>2</xdr:col>
      <xdr:colOff>621460</xdr:colOff>
      <xdr:row>34</xdr:row>
      <xdr:rowOff>367524</xdr:rowOff>
    </xdr:to>
    <xdr:pic>
      <xdr:nvPicPr>
        <xdr:cNvPr id="33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52626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162332</xdr:colOff>
      <xdr:row>36</xdr:row>
      <xdr:rowOff>54812</xdr:rowOff>
    </xdr:from>
    <xdr:to>
      <xdr:col>2</xdr:col>
      <xdr:colOff>617867</xdr:colOff>
      <xdr:row>36</xdr:row>
      <xdr:rowOff>363925</xdr:rowOff>
    </xdr:to>
    <xdr:pic>
      <xdr:nvPicPr>
        <xdr:cNvPr id="34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57732" y="1032276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37</xdr:row>
      <xdr:rowOff>67255</xdr:rowOff>
    </xdr:from>
    <xdr:to>
      <xdr:col>2</xdr:col>
      <xdr:colOff>650218</xdr:colOff>
      <xdr:row>37</xdr:row>
      <xdr:rowOff>363926</xdr:rowOff>
    </xdr:to>
    <xdr:pic>
      <xdr:nvPicPr>
        <xdr:cNvPr id="35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073525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135709</xdr:colOff>
      <xdr:row>35</xdr:row>
      <xdr:rowOff>54815</xdr:rowOff>
    </xdr:from>
    <xdr:to>
      <xdr:col>2</xdr:col>
      <xdr:colOff>621460</xdr:colOff>
      <xdr:row>35</xdr:row>
      <xdr:rowOff>363929</xdr:rowOff>
    </xdr:to>
    <xdr:pic>
      <xdr:nvPicPr>
        <xdr:cNvPr id="36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31109" y="992271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118256</xdr:colOff>
      <xdr:row>38</xdr:row>
      <xdr:rowOff>63660</xdr:rowOff>
    </xdr:from>
    <xdr:to>
      <xdr:col>2</xdr:col>
      <xdr:colOff>650218</xdr:colOff>
      <xdr:row>38</xdr:row>
      <xdr:rowOff>360331</xdr:rowOff>
    </xdr:to>
    <xdr:pic>
      <xdr:nvPicPr>
        <xdr:cNvPr id="37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13656" y="1113171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187444</xdr:colOff>
      <xdr:row>40</xdr:row>
      <xdr:rowOff>59845</xdr:rowOff>
    </xdr:from>
    <xdr:to>
      <xdr:col>2</xdr:col>
      <xdr:colOff>567008</xdr:colOff>
      <xdr:row>40</xdr:row>
      <xdr:rowOff>360333</xdr:rowOff>
    </xdr:to>
    <xdr:pic>
      <xdr:nvPicPr>
        <xdr:cNvPr id="38" name="Grafik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8" t="12238" r="13945" b="8911"/>
        <a:stretch>
          <a:fillRect/>
        </a:stretch>
      </xdr:blipFill>
      <xdr:spPr bwMode="auto">
        <a:xfrm>
          <a:off x="1482844" y="11927995"/>
          <a:ext cx="379564" cy="30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186905</xdr:colOff>
      <xdr:row>39</xdr:row>
      <xdr:rowOff>69191</xdr:rowOff>
    </xdr:from>
    <xdr:to>
      <xdr:col>2</xdr:col>
      <xdr:colOff>577430</xdr:colOff>
      <xdr:row>39</xdr:row>
      <xdr:rowOff>354941</xdr:rowOff>
    </xdr:to>
    <xdr:pic>
      <xdr:nvPicPr>
        <xdr:cNvPr id="39" name="Grafik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82305" y="1153729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41</xdr:row>
      <xdr:rowOff>62003</xdr:rowOff>
    </xdr:from>
    <xdr:to>
      <xdr:col>2</xdr:col>
      <xdr:colOff>585339</xdr:colOff>
      <xdr:row>41</xdr:row>
      <xdr:rowOff>357278</xdr:rowOff>
    </xdr:to>
    <xdr:pic>
      <xdr:nvPicPr>
        <xdr:cNvPr id="41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33020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175764</xdr:colOff>
      <xdr:row>42</xdr:row>
      <xdr:rowOff>62002</xdr:rowOff>
    </xdr:from>
    <xdr:to>
      <xdr:col>2</xdr:col>
      <xdr:colOff>585339</xdr:colOff>
      <xdr:row>42</xdr:row>
      <xdr:rowOff>357277</xdr:rowOff>
    </xdr:to>
    <xdr:pic>
      <xdr:nvPicPr>
        <xdr:cNvPr id="43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71164" y="1273025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248007</xdr:colOff>
      <xdr:row>44</xdr:row>
      <xdr:rowOff>63259</xdr:rowOff>
    </xdr:from>
    <xdr:to>
      <xdr:col>2</xdr:col>
      <xdr:colOff>525182</xdr:colOff>
      <xdr:row>44</xdr:row>
      <xdr:rowOff>356738</xdr:rowOff>
    </xdr:to>
    <xdr:pic>
      <xdr:nvPicPr>
        <xdr:cNvPr id="44" name="Grafik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4" t="4420" r="20264" b="1717"/>
        <a:stretch>
          <a:fillRect/>
        </a:stretch>
      </xdr:blipFill>
      <xdr:spPr bwMode="auto">
        <a:xfrm>
          <a:off x="1543407" y="13531609"/>
          <a:ext cx="277175" cy="29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45</xdr:row>
      <xdr:rowOff>63261</xdr:rowOff>
    </xdr:from>
    <xdr:to>
      <xdr:col>2</xdr:col>
      <xdr:colOff>607081</xdr:colOff>
      <xdr:row>45</xdr:row>
      <xdr:rowOff>364689</xdr:rowOff>
    </xdr:to>
    <xdr:pic>
      <xdr:nvPicPr>
        <xdr:cNvPr id="45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393166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260231</xdr:colOff>
      <xdr:row>43</xdr:row>
      <xdr:rowOff>60533</xdr:rowOff>
    </xdr:from>
    <xdr:to>
      <xdr:col>2</xdr:col>
      <xdr:colOff>524415</xdr:colOff>
      <xdr:row>43</xdr:row>
      <xdr:rowOff>356739</xdr:rowOff>
    </xdr:to>
    <xdr:pic>
      <xdr:nvPicPr>
        <xdr:cNvPr id="46" name="Grafik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55631" y="1312883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46</xdr:row>
      <xdr:rowOff>59666</xdr:rowOff>
    </xdr:from>
    <xdr:to>
      <xdr:col>2</xdr:col>
      <xdr:colOff>607081</xdr:colOff>
      <xdr:row>46</xdr:row>
      <xdr:rowOff>361094</xdr:rowOff>
    </xdr:to>
    <xdr:pic>
      <xdr:nvPicPr>
        <xdr:cNvPr id="47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32811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47</xdr:row>
      <xdr:rowOff>63260</xdr:rowOff>
    </xdr:from>
    <xdr:to>
      <xdr:col>2</xdr:col>
      <xdr:colOff>607081</xdr:colOff>
      <xdr:row>47</xdr:row>
      <xdr:rowOff>364688</xdr:rowOff>
    </xdr:to>
    <xdr:pic>
      <xdr:nvPicPr>
        <xdr:cNvPr id="48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473176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147006</xdr:colOff>
      <xdr:row>48</xdr:row>
      <xdr:rowOff>59665</xdr:rowOff>
    </xdr:from>
    <xdr:to>
      <xdr:col>2</xdr:col>
      <xdr:colOff>607081</xdr:colOff>
      <xdr:row>48</xdr:row>
      <xdr:rowOff>361093</xdr:rowOff>
    </xdr:to>
    <xdr:pic>
      <xdr:nvPicPr>
        <xdr:cNvPr id="49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42406" y="1512821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205060</xdr:colOff>
      <xdr:row>49</xdr:row>
      <xdr:rowOff>62003</xdr:rowOff>
    </xdr:from>
    <xdr:to>
      <xdr:col>2</xdr:col>
      <xdr:colOff>598041</xdr:colOff>
      <xdr:row>49</xdr:row>
      <xdr:rowOff>356739</xdr:rowOff>
    </xdr:to>
    <xdr:pic>
      <xdr:nvPicPr>
        <xdr:cNvPr id="50" name="Grafik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460" y="15530603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218354</xdr:colOff>
      <xdr:row>51</xdr:row>
      <xdr:rowOff>63261</xdr:rowOff>
    </xdr:from>
    <xdr:to>
      <xdr:col>2</xdr:col>
      <xdr:colOff>563599</xdr:colOff>
      <xdr:row>51</xdr:row>
      <xdr:rowOff>360332</xdr:rowOff>
    </xdr:to>
    <xdr:pic>
      <xdr:nvPicPr>
        <xdr:cNvPr id="51" name="Grafik 180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13754" y="1633196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159048</xdr:colOff>
      <xdr:row>53</xdr:row>
      <xdr:rowOff>57330</xdr:rowOff>
    </xdr:from>
    <xdr:to>
      <xdr:col>2</xdr:col>
      <xdr:colOff>578602</xdr:colOff>
      <xdr:row>53</xdr:row>
      <xdr:rowOff>363927</xdr:rowOff>
    </xdr:to>
    <xdr:pic>
      <xdr:nvPicPr>
        <xdr:cNvPr id="52" name="Grafik 18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54448" y="1712613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138021</xdr:colOff>
      <xdr:row>54</xdr:row>
      <xdr:rowOff>66855</xdr:rowOff>
    </xdr:from>
    <xdr:to>
      <xdr:col>2</xdr:col>
      <xdr:colOff>639442</xdr:colOff>
      <xdr:row>54</xdr:row>
      <xdr:rowOff>356739</xdr:rowOff>
    </xdr:to>
    <xdr:pic>
      <xdr:nvPicPr>
        <xdr:cNvPr id="53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33421" y="1753570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229678</xdr:colOff>
      <xdr:row>50</xdr:row>
      <xdr:rowOff>59664</xdr:rowOff>
    </xdr:from>
    <xdr:to>
      <xdr:col>2</xdr:col>
      <xdr:colOff>533941</xdr:colOff>
      <xdr:row>50</xdr:row>
      <xdr:rowOff>363927</xdr:rowOff>
    </xdr:to>
    <xdr:pic>
      <xdr:nvPicPr>
        <xdr:cNvPr id="54" name="Grafik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25078" y="1592831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55</xdr:row>
      <xdr:rowOff>58408</xdr:rowOff>
    </xdr:from>
    <xdr:to>
      <xdr:col>2</xdr:col>
      <xdr:colOff>486576</xdr:colOff>
      <xdr:row>55</xdr:row>
      <xdr:rowOff>360332</xdr:rowOff>
    </xdr:to>
    <xdr:pic>
      <xdr:nvPicPr>
        <xdr:cNvPr id="55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792730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279997</xdr:colOff>
      <xdr:row>56</xdr:row>
      <xdr:rowOff>62003</xdr:rowOff>
    </xdr:from>
    <xdr:to>
      <xdr:col>2</xdr:col>
      <xdr:colOff>486576</xdr:colOff>
      <xdr:row>56</xdr:row>
      <xdr:rowOff>363927</xdr:rowOff>
    </xdr:to>
    <xdr:pic>
      <xdr:nvPicPr>
        <xdr:cNvPr id="56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5397" y="1833095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142515</xdr:colOff>
      <xdr:row>57</xdr:row>
      <xdr:rowOff>62003</xdr:rowOff>
    </xdr:from>
    <xdr:to>
      <xdr:col>2</xdr:col>
      <xdr:colOff>610167</xdr:colOff>
      <xdr:row>57</xdr:row>
      <xdr:rowOff>360333</xdr:rowOff>
    </xdr:to>
    <xdr:pic>
      <xdr:nvPicPr>
        <xdr:cNvPr id="57" name="Grafik 180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37915" y="1873100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197511</xdr:colOff>
      <xdr:row>60</xdr:row>
      <xdr:rowOff>65597</xdr:rowOff>
    </xdr:from>
    <xdr:to>
      <xdr:col>2</xdr:col>
      <xdr:colOff>577565</xdr:colOff>
      <xdr:row>60</xdr:row>
      <xdr:rowOff>360333</xdr:rowOff>
    </xdr:to>
    <xdr:pic>
      <xdr:nvPicPr>
        <xdr:cNvPr id="58" name="Grafik 18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5" t="15685" r="19672" b="16676"/>
        <a:stretch>
          <a:fillRect/>
        </a:stretch>
      </xdr:blipFill>
      <xdr:spPr bwMode="auto">
        <a:xfrm>
          <a:off x="1492911" y="19934747"/>
          <a:ext cx="380054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168580</xdr:colOff>
      <xdr:row>61</xdr:row>
      <xdr:rowOff>57150</xdr:rowOff>
    </xdr:from>
    <xdr:to>
      <xdr:col>2</xdr:col>
      <xdr:colOff>628746</xdr:colOff>
      <xdr:row>61</xdr:row>
      <xdr:rowOff>363927</xdr:rowOff>
    </xdr:to>
    <xdr:pic>
      <xdr:nvPicPr>
        <xdr:cNvPr id="59" name="Grafik 18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9" t="17393" r="1051" b="7680"/>
        <a:stretch>
          <a:fillRect/>
        </a:stretch>
      </xdr:blipFill>
      <xdr:spPr bwMode="auto">
        <a:xfrm>
          <a:off x="1463980" y="20326350"/>
          <a:ext cx="460166" cy="30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145033</xdr:colOff>
      <xdr:row>62</xdr:row>
      <xdr:rowOff>63079</xdr:rowOff>
    </xdr:from>
    <xdr:to>
      <xdr:col>2</xdr:col>
      <xdr:colOff>616667</xdr:colOff>
      <xdr:row>62</xdr:row>
      <xdr:rowOff>356738</xdr:rowOff>
    </xdr:to>
    <xdr:pic>
      <xdr:nvPicPr>
        <xdr:cNvPr id="60" name="Grafik 18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3" t="22664" r="17278" b="20187"/>
        <a:stretch>
          <a:fillRect/>
        </a:stretch>
      </xdr:blipFill>
      <xdr:spPr bwMode="auto">
        <a:xfrm>
          <a:off x="1440433" y="20732329"/>
          <a:ext cx="471634" cy="29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246214</xdr:colOff>
      <xdr:row>63</xdr:row>
      <xdr:rowOff>59668</xdr:rowOff>
    </xdr:from>
    <xdr:to>
      <xdr:col>2</xdr:col>
      <xdr:colOff>506249</xdr:colOff>
      <xdr:row>63</xdr:row>
      <xdr:rowOff>360334</xdr:rowOff>
    </xdr:to>
    <xdr:pic>
      <xdr:nvPicPr>
        <xdr:cNvPr id="61" name="Grafik 18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41614" y="2112896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181155</xdr:colOff>
      <xdr:row>64</xdr:row>
      <xdr:rowOff>59486</xdr:rowOff>
    </xdr:from>
    <xdr:to>
      <xdr:col>2</xdr:col>
      <xdr:colOff>602000</xdr:colOff>
      <xdr:row>64</xdr:row>
      <xdr:rowOff>363927</xdr:rowOff>
    </xdr:to>
    <xdr:pic>
      <xdr:nvPicPr>
        <xdr:cNvPr id="62" name="Grafik 181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76555" y="2152883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203440</xdr:colOff>
      <xdr:row>58</xdr:row>
      <xdr:rowOff>63262</xdr:rowOff>
    </xdr:from>
    <xdr:to>
      <xdr:col>2</xdr:col>
      <xdr:colOff>574147</xdr:colOff>
      <xdr:row>58</xdr:row>
      <xdr:rowOff>356738</xdr:rowOff>
    </xdr:to>
    <xdr:pic>
      <xdr:nvPicPr>
        <xdr:cNvPr id="63" name="Grafik 180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98840" y="1913231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263109</xdr:colOff>
      <xdr:row>65</xdr:row>
      <xdr:rowOff>58408</xdr:rowOff>
    </xdr:from>
    <xdr:to>
      <xdr:col>2</xdr:col>
      <xdr:colOff>539874</xdr:colOff>
      <xdr:row>65</xdr:row>
      <xdr:rowOff>360333</xdr:rowOff>
    </xdr:to>
    <xdr:pic>
      <xdr:nvPicPr>
        <xdr:cNvPr id="64" name="Grafik 181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58509" y="2192780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221771</xdr:colOff>
      <xdr:row>66</xdr:row>
      <xdr:rowOff>62001</xdr:rowOff>
    </xdr:from>
    <xdr:to>
      <xdr:col>2</xdr:col>
      <xdr:colOff>559218</xdr:colOff>
      <xdr:row>66</xdr:row>
      <xdr:rowOff>363927</xdr:rowOff>
    </xdr:to>
    <xdr:pic>
      <xdr:nvPicPr>
        <xdr:cNvPr id="65" name="Grafik 18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17171" y="2233145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238844</xdr:colOff>
      <xdr:row>67</xdr:row>
      <xdr:rowOff>62002</xdr:rowOff>
    </xdr:from>
    <xdr:to>
      <xdr:col>2</xdr:col>
      <xdr:colOff>512986</xdr:colOff>
      <xdr:row>67</xdr:row>
      <xdr:rowOff>360333</xdr:rowOff>
    </xdr:to>
    <xdr:pic>
      <xdr:nvPicPr>
        <xdr:cNvPr id="66" name="Grafik 18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34244" y="2273150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68</xdr:row>
      <xdr:rowOff>56970</xdr:rowOff>
    </xdr:from>
    <xdr:to>
      <xdr:col>2</xdr:col>
      <xdr:colOff>574160</xdr:colOff>
      <xdr:row>68</xdr:row>
      <xdr:rowOff>360332</xdr:rowOff>
    </xdr:to>
    <xdr:pic>
      <xdr:nvPicPr>
        <xdr:cNvPr id="67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1265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69</xdr:row>
      <xdr:rowOff>60564</xdr:rowOff>
    </xdr:from>
    <xdr:to>
      <xdr:col>2</xdr:col>
      <xdr:colOff>574160</xdr:colOff>
      <xdr:row>69</xdr:row>
      <xdr:rowOff>363926</xdr:rowOff>
    </xdr:to>
    <xdr:pic>
      <xdr:nvPicPr>
        <xdr:cNvPr id="68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53016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70</xdr:row>
      <xdr:rowOff>56970</xdr:rowOff>
    </xdr:from>
    <xdr:to>
      <xdr:col>2</xdr:col>
      <xdr:colOff>574160</xdr:colOff>
      <xdr:row>70</xdr:row>
      <xdr:rowOff>360332</xdr:rowOff>
    </xdr:to>
    <xdr:pic>
      <xdr:nvPicPr>
        <xdr:cNvPr id="69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392662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71</xdr:row>
      <xdr:rowOff>60563</xdr:rowOff>
    </xdr:from>
    <xdr:to>
      <xdr:col>2</xdr:col>
      <xdr:colOff>574160</xdr:colOff>
      <xdr:row>71</xdr:row>
      <xdr:rowOff>363925</xdr:rowOff>
    </xdr:to>
    <xdr:pic>
      <xdr:nvPicPr>
        <xdr:cNvPr id="70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3302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202542</xdr:colOff>
      <xdr:row>72</xdr:row>
      <xdr:rowOff>60563</xdr:rowOff>
    </xdr:from>
    <xdr:to>
      <xdr:col>2</xdr:col>
      <xdr:colOff>574160</xdr:colOff>
      <xdr:row>72</xdr:row>
      <xdr:rowOff>363925</xdr:rowOff>
    </xdr:to>
    <xdr:pic>
      <xdr:nvPicPr>
        <xdr:cNvPr id="71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97942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147009</xdr:colOff>
      <xdr:row>74</xdr:row>
      <xdr:rowOff>58408</xdr:rowOff>
    </xdr:from>
    <xdr:to>
      <xdr:col>2</xdr:col>
      <xdr:colOff>604209</xdr:colOff>
      <xdr:row>74</xdr:row>
      <xdr:rowOff>363208</xdr:rowOff>
    </xdr:to>
    <xdr:pic>
      <xdr:nvPicPr>
        <xdr:cNvPr id="72" name="Grafik 18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409" y="2552825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152760</xdr:colOff>
      <xdr:row>78</xdr:row>
      <xdr:rowOff>63260</xdr:rowOff>
    </xdr:from>
    <xdr:to>
      <xdr:col>2</xdr:col>
      <xdr:colOff>598368</xdr:colOff>
      <xdr:row>78</xdr:row>
      <xdr:rowOff>360332</xdr:rowOff>
    </xdr:to>
    <xdr:pic>
      <xdr:nvPicPr>
        <xdr:cNvPr id="73" name="Grafik 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160" y="2713331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283054</xdr:colOff>
      <xdr:row>73</xdr:row>
      <xdr:rowOff>54815</xdr:rowOff>
    </xdr:from>
    <xdr:to>
      <xdr:col>2</xdr:col>
      <xdr:colOff>459689</xdr:colOff>
      <xdr:row>73</xdr:row>
      <xdr:rowOff>363927</xdr:rowOff>
    </xdr:to>
    <xdr:pic>
      <xdr:nvPicPr>
        <xdr:cNvPr id="74" name="Grafik 34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5460" b="20000"/>
        <a:stretch/>
      </xdr:blipFill>
      <xdr:spPr bwMode="auto">
        <a:xfrm>
          <a:off x="1578454" y="25124615"/>
          <a:ext cx="176635" cy="30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188345</xdr:colOff>
      <xdr:row>76</xdr:row>
      <xdr:rowOff>126699</xdr:rowOff>
    </xdr:from>
    <xdr:to>
      <xdr:col>2</xdr:col>
      <xdr:colOff>631857</xdr:colOff>
      <xdr:row>76</xdr:row>
      <xdr:rowOff>285569</xdr:rowOff>
    </xdr:to>
    <xdr:grpSp>
      <xdr:nvGrpSpPr>
        <xdr:cNvPr id="75" name="Gruppieren 129"/>
        <xdr:cNvGrpSpPr>
          <a:grpSpLocks/>
        </xdr:cNvGrpSpPr>
      </xdr:nvGrpSpPr>
      <xdr:grpSpPr bwMode="auto">
        <a:xfrm>
          <a:off x="1578995" y="26653824"/>
          <a:ext cx="443512" cy="158870"/>
          <a:chOff x="1849755" y="26461853"/>
          <a:chExt cx="741045" cy="307205"/>
        </a:xfrm>
      </xdr:grpSpPr>
      <xdr:pic>
        <xdr:nvPicPr>
          <xdr:cNvPr id="76" name="Grafik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" name="Rechteck 131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288983</xdr:colOff>
      <xdr:row>77</xdr:row>
      <xdr:rowOff>57331</xdr:rowOff>
    </xdr:from>
    <xdr:to>
      <xdr:col>2</xdr:col>
      <xdr:colOff>481282</xdr:colOff>
      <xdr:row>77</xdr:row>
      <xdr:rowOff>363261</xdr:rowOff>
    </xdr:to>
    <xdr:pic>
      <xdr:nvPicPr>
        <xdr:cNvPr id="78" name="Grafik 1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3867" r="26851" b="9618"/>
        <a:stretch>
          <a:fillRect/>
        </a:stretch>
      </xdr:blipFill>
      <xdr:spPr bwMode="auto">
        <a:xfrm>
          <a:off x="1584383" y="26727331"/>
          <a:ext cx="192299" cy="30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221232</xdr:colOff>
      <xdr:row>75</xdr:row>
      <xdr:rowOff>122926</xdr:rowOff>
    </xdr:from>
    <xdr:to>
      <xdr:col>2</xdr:col>
      <xdr:colOff>564132</xdr:colOff>
      <xdr:row>75</xdr:row>
      <xdr:rowOff>303901</xdr:rowOff>
    </xdr:to>
    <xdr:pic>
      <xdr:nvPicPr>
        <xdr:cNvPr id="79" name="Grafik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16632" y="2599282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342900</xdr:colOff>
          <xdr:row>12</xdr:row>
          <xdr:rowOff>0</xdr:rowOff>
        </xdr:to>
        <xdr:sp macro="" textlink="">
          <xdr:nvSpPr>
            <xdr:cNvPr id="15378" name="Group Box 18" hidden="1">
              <a:extLst>
                <a:ext uri="{63B3BB69-23CF-44E3-9099-C40C66FF867C}">
                  <a14:compatExt spid="_x0000_s15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7</xdr:row>
          <xdr:rowOff>9525</xdr:rowOff>
        </xdr:from>
        <xdr:to>
          <xdr:col>8</xdr:col>
          <xdr:colOff>457200</xdr:colOff>
          <xdr:row>7</xdr:row>
          <xdr:rowOff>180975</xdr:rowOff>
        </xdr:to>
        <xdr:sp macro="" textlink="">
          <xdr:nvSpPr>
            <xdr:cNvPr id="15384" name="Option Button 24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15385" name="Option Button 25" hidden="1">
              <a:extLst>
                <a:ext uri="{63B3BB69-23CF-44E3-9099-C40C66FF867C}">
                  <a14:compatExt spid="_x0000_s15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150078</xdr:colOff>
      <xdr:row>79</xdr:row>
      <xdr:rowOff>147288</xdr:rowOff>
    </xdr:from>
    <xdr:to>
      <xdr:col>2</xdr:col>
      <xdr:colOff>611572</xdr:colOff>
      <xdr:row>79</xdr:row>
      <xdr:rowOff>452470</xdr:rowOff>
    </xdr:to>
    <xdr:pic>
      <xdr:nvPicPr>
        <xdr:cNvPr id="89" name="Grafik 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45478" y="276173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13</xdr:row>
          <xdr:rowOff>123825</xdr:rowOff>
        </xdr:from>
        <xdr:to>
          <xdr:col>12</xdr:col>
          <xdr:colOff>142875</xdr:colOff>
          <xdr:row>13</xdr:row>
          <xdr:rowOff>171450</xdr:rowOff>
        </xdr:to>
        <xdr:sp macro="" textlink="">
          <xdr:nvSpPr>
            <xdr:cNvPr id="15387" name="Option Button 27" hidden="1">
              <a:extLst>
                <a:ext uri="{63B3BB69-23CF-44E3-9099-C40C66FF867C}">
                  <a14:compatExt spid="_x0000_s15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193197</xdr:colOff>
      <xdr:row>24</xdr:row>
      <xdr:rowOff>62002</xdr:rowOff>
    </xdr:from>
    <xdr:to>
      <xdr:col>2</xdr:col>
      <xdr:colOff>578329</xdr:colOff>
      <xdr:row>24</xdr:row>
      <xdr:rowOff>363781</xdr:rowOff>
    </xdr:to>
    <xdr:pic>
      <xdr:nvPicPr>
        <xdr:cNvPr id="93" name="Grafik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88597" y="552935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184750</xdr:colOff>
      <xdr:row>23</xdr:row>
      <xdr:rowOff>54815</xdr:rowOff>
    </xdr:from>
    <xdr:to>
      <xdr:col>2</xdr:col>
      <xdr:colOff>593434</xdr:colOff>
      <xdr:row>23</xdr:row>
      <xdr:rowOff>367522</xdr:rowOff>
    </xdr:to>
    <xdr:pic>
      <xdr:nvPicPr>
        <xdr:cNvPr id="94" name="Grafik 10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65" t="7690" r="10989" b="10440"/>
        <a:stretch>
          <a:fillRect/>
        </a:stretch>
      </xdr:blipFill>
      <xdr:spPr bwMode="auto">
        <a:xfrm>
          <a:off x="1480150" y="5122115"/>
          <a:ext cx="408684" cy="31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200025</xdr:colOff>
          <xdr:row>52</xdr:row>
          <xdr:rowOff>57150</xdr:rowOff>
        </xdr:from>
        <xdr:to>
          <xdr:col>2</xdr:col>
          <xdr:colOff>609600</xdr:colOff>
          <xdr:row>52</xdr:row>
          <xdr:rowOff>361950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106137</xdr:colOff>
      <xdr:row>59</xdr:row>
      <xdr:rowOff>63955</xdr:rowOff>
    </xdr:from>
    <xdr:to>
      <xdr:col>2</xdr:col>
      <xdr:colOff>661308</xdr:colOff>
      <xdr:row>59</xdr:row>
      <xdr:rowOff>362893</xdr:rowOff>
    </xdr:to>
    <xdr:pic>
      <xdr:nvPicPr>
        <xdr:cNvPr id="96" name="Grafik 180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01537" y="1953305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361951</xdr:colOff>
      <xdr:row>0</xdr:row>
      <xdr:rowOff>103198</xdr:rowOff>
    </xdr:from>
    <xdr:to>
      <xdr:col>4</xdr:col>
      <xdr:colOff>838200</xdr:colOff>
      <xdr:row>6</xdr:row>
      <xdr:rowOff>20627</xdr:rowOff>
    </xdr:to>
    <xdr:pic>
      <xdr:nvPicPr>
        <xdr:cNvPr id="85" name="Grafik 27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3" t="5950" r="8283" b="11209"/>
        <a:stretch/>
      </xdr:blipFill>
      <xdr:spPr bwMode="auto">
        <a:xfrm>
          <a:off x="1657351" y="103198"/>
          <a:ext cx="1971674" cy="1470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15389" name="Option Button 29" hidden="1">
              <a:extLst>
                <a:ext uri="{63B3BB69-23CF-44E3-9099-C40C66FF867C}">
                  <a14:compatExt spid="_x0000_s15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15390" name="Option Button 30" hidden="1">
              <a:extLst>
                <a:ext uri="{63B3BB69-23CF-44E3-9099-C40C66FF867C}">
                  <a14:compatExt spid="_x0000_s1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15391" name="Option Button 31" hidden="1">
              <a:extLst>
                <a:ext uri="{63B3BB69-23CF-44E3-9099-C40C66FF867C}">
                  <a14:compatExt spid="_x0000_s1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352425</xdr:colOff>
          <xdr:row>8</xdr:row>
          <xdr:rowOff>0</xdr:rowOff>
        </xdr:to>
        <xdr:sp macro="" textlink="">
          <xdr:nvSpPr>
            <xdr:cNvPr id="34817" name="Group Box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352425</xdr:colOff>
          <xdr:row>20</xdr:row>
          <xdr:rowOff>0</xdr:rowOff>
        </xdr:to>
        <xdr:sp macro="" textlink="">
          <xdr:nvSpPr>
            <xdr:cNvPr id="34819" name="Group Box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196217</xdr:colOff>
      <xdr:row>27</xdr:row>
      <xdr:rowOff>104878</xdr:rowOff>
    </xdr:from>
    <xdr:to>
      <xdr:col>2</xdr:col>
      <xdr:colOff>551353</xdr:colOff>
      <xdr:row>27</xdr:row>
      <xdr:rowOff>294835</xdr:rowOff>
    </xdr:to>
    <xdr:pic>
      <xdr:nvPicPr>
        <xdr:cNvPr id="6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74206" y="6689789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204995</xdr:colOff>
      <xdr:row>28</xdr:row>
      <xdr:rowOff>52793</xdr:rowOff>
    </xdr:from>
    <xdr:to>
      <xdr:col>2</xdr:col>
      <xdr:colOff>604043</xdr:colOff>
      <xdr:row>28</xdr:row>
      <xdr:rowOff>347663</xdr:rowOff>
    </xdr:to>
    <xdr:pic>
      <xdr:nvPicPr>
        <xdr:cNvPr id="7" name="Grafik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395" y="7120343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215795</xdr:colOff>
      <xdr:row>29</xdr:row>
      <xdr:rowOff>47624</xdr:rowOff>
    </xdr:from>
    <xdr:to>
      <xdr:col>2</xdr:col>
      <xdr:colOff>583961</xdr:colOff>
      <xdr:row>29</xdr:row>
      <xdr:rowOff>354805</xdr:rowOff>
    </xdr:to>
    <xdr:pic>
      <xdr:nvPicPr>
        <xdr:cNvPr id="8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511195" y="7515224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181265</xdr:colOff>
      <xdr:row>30</xdr:row>
      <xdr:rowOff>53975</xdr:rowOff>
    </xdr:from>
    <xdr:to>
      <xdr:col>2</xdr:col>
      <xdr:colOff>625370</xdr:colOff>
      <xdr:row>30</xdr:row>
      <xdr:rowOff>350045</xdr:rowOff>
    </xdr:to>
    <xdr:pic>
      <xdr:nvPicPr>
        <xdr:cNvPr id="9" name="Grafik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665" y="7921625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34825" name="Option Button 9" hidden="1">
              <a:extLst>
                <a:ext uri="{63B3BB69-23CF-44E3-9099-C40C66FF867C}">
                  <a14:compatExt spid="_x0000_s3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34826" name="Option Button 10" hidden="1">
              <a:extLst>
                <a:ext uri="{63B3BB69-23CF-44E3-9099-C40C66FF867C}">
                  <a14:compatExt spid="_x0000_s3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34827" name="Option Button 11" hidden="1">
              <a:extLst>
                <a:ext uri="{63B3BB69-23CF-44E3-9099-C40C66FF867C}">
                  <a14:compatExt spid="_x0000_s3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34828" name="Option Button 12" hidden="1">
              <a:extLst>
                <a:ext uri="{63B3BB69-23CF-44E3-9099-C40C66FF867C}">
                  <a14:compatExt spid="_x0000_s3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19050</xdr:rowOff>
        </xdr:from>
        <xdr:to>
          <xdr:col>10</xdr:col>
          <xdr:colOff>314325</xdr:colOff>
          <xdr:row>14</xdr:row>
          <xdr:rowOff>180975</xdr:rowOff>
        </xdr:to>
        <xdr:sp macro="" textlink="">
          <xdr:nvSpPr>
            <xdr:cNvPr id="34829" name="Option Button 13" hidden="1">
              <a:extLst>
                <a:ext uri="{63B3BB69-23CF-44E3-9099-C40C66FF867C}">
                  <a14:compatExt spid="_x0000_s3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9525</xdr:rowOff>
        </xdr:from>
        <xdr:to>
          <xdr:col>10</xdr:col>
          <xdr:colOff>314325</xdr:colOff>
          <xdr:row>15</xdr:row>
          <xdr:rowOff>171450</xdr:rowOff>
        </xdr:to>
        <xdr:sp macro="" textlink="">
          <xdr:nvSpPr>
            <xdr:cNvPr id="34830" name="Option Button 14" hidden="1">
              <a:extLst>
                <a:ext uri="{63B3BB69-23CF-44E3-9099-C40C66FF867C}">
                  <a14:compatExt spid="_x0000_s3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171450</xdr:rowOff>
        </xdr:to>
        <xdr:sp macro="" textlink="">
          <xdr:nvSpPr>
            <xdr:cNvPr id="34831" name="Option Button 15" hidden="1">
              <a:extLst>
                <a:ext uri="{63B3BB69-23CF-44E3-9099-C40C66FF867C}">
                  <a14:compatExt spid="_x0000_s3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9525</xdr:rowOff>
        </xdr:from>
        <xdr:to>
          <xdr:col>10</xdr:col>
          <xdr:colOff>314325</xdr:colOff>
          <xdr:row>17</xdr:row>
          <xdr:rowOff>171450</xdr:rowOff>
        </xdr:to>
        <xdr:sp macro="" textlink="">
          <xdr:nvSpPr>
            <xdr:cNvPr id="34832" name="Option Button 16" hidden="1">
              <a:extLst>
                <a:ext uri="{63B3BB69-23CF-44E3-9099-C40C66FF867C}">
                  <a14:compatExt spid="_x0000_s3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34833" name="Option Button 17" hidden="1">
              <a:extLst>
                <a:ext uri="{63B3BB69-23CF-44E3-9099-C40C66FF867C}">
                  <a14:compatExt spid="_x0000_s3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116996</xdr:colOff>
      <xdr:row>31</xdr:row>
      <xdr:rowOff>70450</xdr:rowOff>
    </xdr:from>
    <xdr:to>
      <xdr:col>2</xdr:col>
      <xdr:colOff>664584</xdr:colOff>
      <xdr:row>31</xdr:row>
      <xdr:rowOff>332836</xdr:rowOff>
    </xdr:to>
    <xdr:pic>
      <xdr:nvPicPr>
        <xdr:cNvPr id="28" name="Grafik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12396" y="8338150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217639</xdr:colOff>
      <xdr:row>32</xdr:row>
      <xdr:rowOff>48884</xdr:rowOff>
    </xdr:from>
    <xdr:to>
      <xdr:col>2</xdr:col>
      <xdr:colOff>544723</xdr:colOff>
      <xdr:row>32</xdr:row>
      <xdr:rowOff>345541</xdr:rowOff>
    </xdr:to>
    <xdr:pic>
      <xdr:nvPicPr>
        <xdr:cNvPr id="29" name="Grafik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513039" y="8716634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145750</xdr:colOff>
      <xdr:row>33</xdr:row>
      <xdr:rowOff>48882</xdr:rowOff>
    </xdr:from>
    <xdr:to>
      <xdr:col>2</xdr:col>
      <xdr:colOff>612068</xdr:colOff>
      <xdr:row>33</xdr:row>
      <xdr:rowOff>354401</xdr:rowOff>
    </xdr:to>
    <xdr:pic>
      <xdr:nvPicPr>
        <xdr:cNvPr id="30" name="Grafi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41150" y="9116682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190818</xdr:colOff>
      <xdr:row>34</xdr:row>
      <xdr:rowOff>52477</xdr:rowOff>
    </xdr:from>
    <xdr:to>
      <xdr:col>2</xdr:col>
      <xdr:colOff>616609</xdr:colOff>
      <xdr:row>34</xdr:row>
      <xdr:rowOff>354402</xdr:rowOff>
    </xdr:to>
    <xdr:pic>
      <xdr:nvPicPr>
        <xdr:cNvPr id="31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86218" y="9520327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192658</xdr:colOff>
      <xdr:row>35</xdr:row>
      <xdr:rowOff>49601</xdr:rowOff>
    </xdr:from>
    <xdr:to>
      <xdr:col>2</xdr:col>
      <xdr:colOff>602233</xdr:colOff>
      <xdr:row>35</xdr:row>
      <xdr:rowOff>354401</xdr:rowOff>
    </xdr:to>
    <xdr:pic>
      <xdr:nvPicPr>
        <xdr:cNvPr id="32" name="Grafik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88058" y="9917501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36</xdr:row>
      <xdr:rowOff>48885</xdr:rowOff>
    </xdr:from>
    <xdr:to>
      <xdr:col>2</xdr:col>
      <xdr:colOff>630985</xdr:colOff>
      <xdr:row>36</xdr:row>
      <xdr:rowOff>357999</xdr:rowOff>
    </xdr:to>
    <xdr:pic>
      <xdr:nvPicPr>
        <xdr:cNvPr id="33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31683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171857</xdr:colOff>
      <xdr:row>38</xdr:row>
      <xdr:rowOff>45287</xdr:rowOff>
    </xdr:from>
    <xdr:to>
      <xdr:col>2</xdr:col>
      <xdr:colOff>627392</xdr:colOff>
      <xdr:row>38</xdr:row>
      <xdr:rowOff>354400</xdr:rowOff>
    </xdr:to>
    <xdr:pic>
      <xdr:nvPicPr>
        <xdr:cNvPr id="34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67257" y="11113337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127781</xdr:colOff>
      <xdr:row>39</xdr:row>
      <xdr:rowOff>57730</xdr:rowOff>
    </xdr:from>
    <xdr:to>
      <xdr:col>2</xdr:col>
      <xdr:colOff>659743</xdr:colOff>
      <xdr:row>39</xdr:row>
      <xdr:rowOff>354401</xdr:rowOff>
    </xdr:to>
    <xdr:pic>
      <xdr:nvPicPr>
        <xdr:cNvPr id="35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23181" y="1152583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145234</xdr:colOff>
      <xdr:row>37</xdr:row>
      <xdr:rowOff>45290</xdr:rowOff>
    </xdr:from>
    <xdr:to>
      <xdr:col>2</xdr:col>
      <xdr:colOff>630985</xdr:colOff>
      <xdr:row>37</xdr:row>
      <xdr:rowOff>354404</xdr:rowOff>
    </xdr:to>
    <xdr:pic>
      <xdr:nvPicPr>
        <xdr:cNvPr id="36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40634" y="1071329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127781</xdr:colOff>
      <xdr:row>40</xdr:row>
      <xdr:rowOff>54135</xdr:rowOff>
    </xdr:from>
    <xdr:to>
      <xdr:col>2</xdr:col>
      <xdr:colOff>659743</xdr:colOff>
      <xdr:row>40</xdr:row>
      <xdr:rowOff>350806</xdr:rowOff>
    </xdr:to>
    <xdr:pic>
      <xdr:nvPicPr>
        <xdr:cNvPr id="37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23181" y="1192228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196969</xdr:colOff>
      <xdr:row>42</xdr:row>
      <xdr:rowOff>50320</xdr:rowOff>
    </xdr:from>
    <xdr:to>
      <xdr:col>2</xdr:col>
      <xdr:colOff>576533</xdr:colOff>
      <xdr:row>42</xdr:row>
      <xdr:rowOff>350808</xdr:rowOff>
    </xdr:to>
    <xdr:pic>
      <xdr:nvPicPr>
        <xdr:cNvPr id="38" name="Grafik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8" t="12238" r="13945" b="8911"/>
        <a:stretch>
          <a:fillRect/>
        </a:stretch>
      </xdr:blipFill>
      <xdr:spPr bwMode="auto">
        <a:xfrm>
          <a:off x="1492369" y="12718570"/>
          <a:ext cx="379564" cy="30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196430</xdr:colOff>
      <xdr:row>41</xdr:row>
      <xdr:rowOff>59666</xdr:rowOff>
    </xdr:from>
    <xdr:to>
      <xdr:col>2</xdr:col>
      <xdr:colOff>586955</xdr:colOff>
      <xdr:row>41</xdr:row>
      <xdr:rowOff>345416</xdr:rowOff>
    </xdr:to>
    <xdr:pic>
      <xdr:nvPicPr>
        <xdr:cNvPr id="39" name="Grafik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91830" y="12327866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185289</xdr:colOff>
      <xdr:row>43</xdr:row>
      <xdr:rowOff>52478</xdr:rowOff>
    </xdr:from>
    <xdr:to>
      <xdr:col>2</xdr:col>
      <xdr:colOff>594864</xdr:colOff>
      <xdr:row>43</xdr:row>
      <xdr:rowOff>347753</xdr:rowOff>
    </xdr:to>
    <xdr:pic>
      <xdr:nvPicPr>
        <xdr:cNvPr id="41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80689" y="13120778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185289</xdr:colOff>
      <xdr:row>44</xdr:row>
      <xdr:rowOff>52477</xdr:rowOff>
    </xdr:from>
    <xdr:to>
      <xdr:col>2</xdr:col>
      <xdr:colOff>594864</xdr:colOff>
      <xdr:row>44</xdr:row>
      <xdr:rowOff>347752</xdr:rowOff>
    </xdr:to>
    <xdr:pic>
      <xdr:nvPicPr>
        <xdr:cNvPr id="43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80689" y="13520827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257532</xdr:colOff>
      <xdr:row>46</xdr:row>
      <xdr:rowOff>53734</xdr:rowOff>
    </xdr:from>
    <xdr:to>
      <xdr:col>2</xdr:col>
      <xdr:colOff>534707</xdr:colOff>
      <xdr:row>46</xdr:row>
      <xdr:rowOff>347213</xdr:rowOff>
    </xdr:to>
    <xdr:pic>
      <xdr:nvPicPr>
        <xdr:cNvPr id="44" name="Grafik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4" t="4420" r="20264" b="1717"/>
        <a:stretch>
          <a:fillRect/>
        </a:stretch>
      </xdr:blipFill>
      <xdr:spPr bwMode="auto">
        <a:xfrm>
          <a:off x="1552932" y="14322184"/>
          <a:ext cx="277175" cy="29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47</xdr:row>
      <xdr:rowOff>53736</xdr:rowOff>
    </xdr:from>
    <xdr:to>
      <xdr:col>2</xdr:col>
      <xdr:colOff>616606</xdr:colOff>
      <xdr:row>47</xdr:row>
      <xdr:rowOff>355164</xdr:rowOff>
    </xdr:to>
    <xdr:pic>
      <xdr:nvPicPr>
        <xdr:cNvPr id="45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472223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269756</xdr:colOff>
      <xdr:row>45</xdr:row>
      <xdr:rowOff>51008</xdr:rowOff>
    </xdr:from>
    <xdr:to>
      <xdr:col>2</xdr:col>
      <xdr:colOff>533940</xdr:colOff>
      <xdr:row>45</xdr:row>
      <xdr:rowOff>347214</xdr:rowOff>
    </xdr:to>
    <xdr:pic>
      <xdr:nvPicPr>
        <xdr:cNvPr id="46" name="Grafik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65156" y="13919408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48</xdr:row>
      <xdr:rowOff>50141</xdr:rowOff>
    </xdr:from>
    <xdr:to>
      <xdr:col>2</xdr:col>
      <xdr:colOff>616606</xdr:colOff>
      <xdr:row>48</xdr:row>
      <xdr:rowOff>351569</xdr:rowOff>
    </xdr:to>
    <xdr:pic>
      <xdr:nvPicPr>
        <xdr:cNvPr id="47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11869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49</xdr:row>
      <xdr:rowOff>53735</xdr:rowOff>
    </xdr:from>
    <xdr:to>
      <xdr:col>2</xdr:col>
      <xdr:colOff>616606</xdr:colOff>
      <xdr:row>49</xdr:row>
      <xdr:rowOff>355163</xdr:rowOff>
    </xdr:to>
    <xdr:pic>
      <xdr:nvPicPr>
        <xdr:cNvPr id="48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52233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156531</xdr:colOff>
      <xdr:row>50</xdr:row>
      <xdr:rowOff>50140</xdr:rowOff>
    </xdr:from>
    <xdr:to>
      <xdr:col>2</xdr:col>
      <xdr:colOff>616606</xdr:colOff>
      <xdr:row>50</xdr:row>
      <xdr:rowOff>351568</xdr:rowOff>
    </xdr:to>
    <xdr:pic>
      <xdr:nvPicPr>
        <xdr:cNvPr id="49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51931" y="1591879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214585</xdr:colOff>
      <xdr:row>51</xdr:row>
      <xdr:rowOff>52478</xdr:rowOff>
    </xdr:from>
    <xdr:to>
      <xdr:col>2</xdr:col>
      <xdr:colOff>607566</xdr:colOff>
      <xdr:row>51</xdr:row>
      <xdr:rowOff>347214</xdr:rowOff>
    </xdr:to>
    <xdr:pic>
      <xdr:nvPicPr>
        <xdr:cNvPr id="50" name="Grafik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985" y="16321178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227879</xdr:colOff>
      <xdr:row>53</xdr:row>
      <xdr:rowOff>53736</xdr:rowOff>
    </xdr:from>
    <xdr:to>
      <xdr:col>2</xdr:col>
      <xdr:colOff>573124</xdr:colOff>
      <xdr:row>53</xdr:row>
      <xdr:rowOff>350807</xdr:rowOff>
    </xdr:to>
    <xdr:pic>
      <xdr:nvPicPr>
        <xdr:cNvPr id="51" name="Grafik 180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23279" y="17122536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168573</xdr:colOff>
      <xdr:row>55</xdr:row>
      <xdr:rowOff>47805</xdr:rowOff>
    </xdr:from>
    <xdr:to>
      <xdr:col>2</xdr:col>
      <xdr:colOff>588127</xdr:colOff>
      <xdr:row>55</xdr:row>
      <xdr:rowOff>354402</xdr:rowOff>
    </xdr:to>
    <xdr:pic>
      <xdr:nvPicPr>
        <xdr:cNvPr id="52" name="Grafik 18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63973" y="17916705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147546</xdr:colOff>
      <xdr:row>56</xdr:row>
      <xdr:rowOff>57330</xdr:rowOff>
    </xdr:from>
    <xdr:to>
      <xdr:col>2</xdr:col>
      <xdr:colOff>648967</xdr:colOff>
      <xdr:row>56</xdr:row>
      <xdr:rowOff>347214</xdr:rowOff>
    </xdr:to>
    <xdr:pic>
      <xdr:nvPicPr>
        <xdr:cNvPr id="53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42946" y="18326280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239203</xdr:colOff>
      <xdr:row>52</xdr:row>
      <xdr:rowOff>50139</xdr:rowOff>
    </xdr:from>
    <xdr:to>
      <xdr:col>2</xdr:col>
      <xdr:colOff>543466</xdr:colOff>
      <xdr:row>52</xdr:row>
      <xdr:rowOff>354402</xdr:rowOff>
    </xdr:to>
    <xdr:pic>
      <xdr:nvPicPr>
        <xdr:cNvPr id="54" name="Grafik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34603" y="16718889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57</xdr:row>
      <xdr:rowOff>48883</xdr:rowOff>
    </xdr:from>
    <xdr:to>
      <xdr:col>2</xdr:col>
      <xdr:colOff>496101</xdr:colOff>
      <xdr:row>57</xdr:row>
      <xdr:rowOff>350807</xdr:rowOff>
    </xdr:to>
    <xdr:pic>
      <xdr:nvPicPr>
        <xdr:cNvPr id="55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871788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289522</xdr:colOff>
      <xdr:row>58</xdr:row>
      <xdr:rowOff>52478</xdr:rowOff>
    </xdr:from>
    <xdr:to>
      <xdr:col>2</xdr:col>
      <xdr:colOff>496101</xdr:colOff>
      <xdr:row>58</xdr:row>
      <xdr:rowOff>354402</xdr:rowOff>
    </xdr:to>
    <xdr:pic>
      <xdr:nvPicPr>
        <xdr:cNvPr id="56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84922" y="1912152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152040</xdr:colOff>
      <xdr:row>59</xdr:row>
      <xdr:rowOff>52478</xdr:rowOff>
    </xdr:from>
    <xdr:to>
      <xdr:col>2</xdr:col>
      <xdr:colOff>619692</xdr:colOff>
      <xdr:row>59</xdr:row>
      <xdr:rowOff>350808</xdr:rowOff>
    </xdr:to>
    <xdr:pic>
      <xdr:nvPicPr>
        <xdr:cNvPr id="57" name="Grafik 180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47440" y="19521578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207036</xdr:colOff>
      <xdr:row>62</xdr:row>
      <xdr:rowOff>56072</xdr:rowOff>
    </xdr:from>
    <xdr:to>
      <xdr:col>2</xdr:col>
      <xdr:colOff>587090</xdr:colOff>
      <xdr:row>62</xdr:row>
      <xdr:rowOff>350808</xdr:rowOff>
    </xdr:to>
    <xdr:pic>
      <xdr:nvPicPr>
        <xdr:cNvPr id="58" name="Grafik 18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5" t="15685" r="19672" b="16676"/>
        <a:stretch>
          <a:fillRect/>
        </a:stretch>
      </xdr:blipFill>
      <xdr:spPr bwMode="auto">
        <a:xfrm>
          <a:off x="1502436" y="20725322"/>
          <a:ext cx="380054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178105</xdr:colOff>
      <xdr:row>63</xdr:row>
      <xdr:rowOff>47625</xdr:rowOff>
    </xdr:from>
    <xdr:to>
      <xdr:col>2</xdr:col>
      <xdr:colOff>638271</xdr:colOff>
      <xdr:row>63</xdr:row>
      <xdr:rowOff>354402</xdr:rowOff>
    </xdr:to>
    <xdr:pic>
      <xdr:nvPicPr>
        <xdr:cNvPr id="59" name="Grafik 18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9" t="17393" r="1051" b="7680"/>
        <a:stretch>
          <a:fillRect/>
        </a:stretch>
      </xdr:blipFill>
      <xdr:spPr bwMode="auto">
        <a:xfrm>
          <a:off x="1473505" y="21116925"/>
          <a:ext cx="460166" cy="30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154558</xdr:colOff>
      <xdr:row>64</xdr:row>
      <xdr:rowOff>53554</xdr:rowOff>
    </xdr:from>
    <xdr:to>
      <xdr:col>2</xdr:col>
      <xdr:colOff>626192</xdr:colOff>
      <xdr:row>64</xdr:row>
      <xdr:rowOff>347213</xdr:rowOff>
    </xdr:to>
    <xdr:pic>
      <xdr:nvPicPr>
        <xdr:cNvPr id="60" name="Grafik 18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3" t="22664" r="17278" b="20187"/>
        <a:stretch>
          <a:fillRect/>
        </a:stretch>
      </xdr:blipFill>
      <xdr:spPr bwMode="auto">
        <a:xfrm>
          <a:off x="1449958" y="21522904"/>
          <a:ext cx="471634" cy="29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255739</xdr:colOff>
      <xdr:row>65</xdr:row>
      <xdr:rowOff>50143</xdr:rowOff>
    </xdr:from>
    <xdr:to>
      <xdr:col>2</xdr:col>
      <xdr:colOff>515774</xdr:colOff>
      <xdr:row>65</xdr:row>
      <xdr:rowOff>350809</xdr:rowOff>
    </xdr:to>
    <xdr:pic>
      <xdr:nvPicPr>
        <xdr:cNvPr id="61" name="Grafik 18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51139" y="21919543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190680</xdr:colOff>
      <xdr:row>66</xdr:row>
      <xdr:rowOff>49961</xdr:rowOff>
    </xdr:from>
    <xdr:to>
      <xdr:col>2</xdr:col>
      <xdr:colOff>611525</xdr:colOff>
      <xdr:row>66</xdr:row>
      <xdr:rowOff>354402</xdr:rowOff>
    </xdr:to>
    <xdr:pic>
      <xdr:nvPicPr>
        <xdr:cNvPr id="62" name="Grafik 181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86080" y="22319411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212965</xdr:colOff>
      <xdr:row>60</xdr:row>
      <xdr:rowOff>53737</xdr:rowOff>
    </xdr:from>
    <xdr:to>
      <xdr:col>2</xdr:col>
      <xdr:colOff>583672</xdr:colOff>
      <xdr:row>60</xdr:row>
      <xdr:rowOff>347213</xdr:rowOff>
    </xdr:to>
    <xdr:pic>
      <xdr:nvPicPr>
        <xdr:cNvPr id="63" name="Grafik 180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508365" y="19922887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272634</xdr:colOff>
      <xdr:row>67</xdr:row>
      <xdr:rowOff>48883</xdr:rowOff>
    </xdr:from>
    <xdr:to>
      <xdr:col>2</xdr:col>
      <xdr:colOff>549399</xdr:colOff>
      <xdr:row>67</xdr:row>
      <xdr:rowOff>350808</xdr:rowOff>
    </xdr:to>
    <xdr:pic>
      <xdr:nvPicPr>
        <xdr:cNvPr id="64" name="Grafik 181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68034" y="22718383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231296</xdr:colOff>
      <xdr:row>68</xdr:row>
      <xdr:rowOff>52476</xdr:rowOff>
    </xdr:from>
    <xdr:to>
      <xdr:col>2</xdr:col>
      <xdr:colOff>568743</xdr:colOff>
      <xdr:row>68</xdr:row>
      <xdr:rowOff>354402</xdr:rowOff>
    </xdr:to>
    <xdr:pic>
      <xdr:nvPicPr>
        <xdr:cNvPr id="65" name="Grafik 18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26696" y="23122026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248369</xdr:colOff>
      <xdr:row>69</xdr:row>
      <xdr:rowOff>52477</xdr:rowOff>
    </xdr:from>
    <xdr:to>
      <xdr:col>2</xdr:col>
      <xdr:colOff>522511</xdr:colOff>
      <xdr:row>69</xdr:row>
      <xdr:rowOff>350808</xdr:rowOff>
    </xdr:to>
    <xdr:pic>
      <xdr:nvPicPr>
        <xdr:cNvPr id="66" name="Grafik 18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43769" y="23522077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70</xdr:row>
      <xdr:rowOff>47445</xdr:rowOff>
    </xdr:from>
    <xdr:to>
      <xdr:col>2</xdr:col>
      <xdr:colOff>583685</xdr:colOff>
      <xdr:row>70</xdr:row>
      <xdr:rowOff>350807</xdr:rowOff>
    </xdr:to>
    <xdr:pic>
      <xdr:nvPicPr>
        <xdr:cNvPr id="67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39170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71</xdr:row>
      <xdr:rowOff>51039</xdr:rowOff>
    </xdr:from>
    <xdr:to>
      <xdr:col>2</xdr:col>
      <xdr:colOff>583685</xdr:colOff>
      <xdr:row>71</xdr:row>
      <xdr:rowOff>354401</xdr:rowOff>
    </xdr:to>
    <xdr:pic>
      <xdr:nvPicPr>
        <xdr:cNvPr id="68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320739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72</xdr:row>
      <xdr:rowOff>47445</xdr:rowOff>
    </xdr:from>
    <xdr:to>
      <xdr:col>2</xdr:col>
      <xdr:colOff>583685</xdr:colOff>
      <xdr:row>72</xdr:row>
      <xdr:rowOff>350807</xdr:rowOff>
    </xdr:to>
    <xdr:pic>
      <xdr:nvPicPr>
        <xdr:cNvPr id="69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4717195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73</xdr:row>
      <xdr:rowOff>51038</xdr:rowOff>
    </xdr:from>
    <xdr:to>
      <xdr:col>2</xdr:col>
      <xdr:colOff>583685</xdr:colOff>
      <xdr:row>73</xdr:row>
      <xdr:rowOff>354400</xdr:rowOff>
    </xdr:to>
    <xdr:pic>
      <xdr:nvPicPr>
        <xdr:cNvPr id="70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12083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212067</xdr:colOff>
      <xdr:row>74</xdr:row>
      <xdr:rowOff>51038</xdr:rowOff>
    </xdr:from>
    <xdr:to>
      <xdr:col>2</xdr:col>
      <xdr:colOff>583685</xdr:colOff>
      <xdr:row>74</xdr:row>
      <xdr:rowOff>354400</xdr:rowOff>
    </xdr:to>
    <xdr:pic>
      <xdr:nvPicPr>
        <xdr:cNvPr id="71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507467" y="25520888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156534</xdr:colOff>
      <xdr:row>76</xdr:row>
      <xdr:rowOff>48883</xdr:rowOff>
    </xdr:from>
    <xdr:to>
      <xdr:col>2</xdr:col>
      <xdr:colOff>613734</xdr:colOff>
      <xdr:row>76</xdr:row>
      <xdr:rowOff>353683</xdr:rowOff>
    </xdr:to>
    <xdr:pic>
      <xdr:nvPicPr>
        <xdr:cNvPr id="72" name="Grafik 18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934" y="26318833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162285</xdr:colOff>
      <xdr:row>80</xdr:row>
      <xdr:rowOff>53735</xdr:rowOff>
    </xdr:from>
    <xdr:to>
      <xdr:col>2</xdr:col>
      <xdr:colOff>607893</xdr:colOff>
      <xdr:row>80</xdr:row>
      <xdr:rowOff>350807</xdr:rowOff>
    </xdr:to>
    <xdr:pic>
      <xdr:nvPicPr>
        <xdr:cNvPr id="73" name="Grafik 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85" y="27923885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292579</xdr:colOff>
      <xdr:row>75</xdr:row>
      <xdr:rowOff>45290</xdr:rowOff>
    </xdr:from>
    <xdr:to>
      <xdr:col>2</xdr:col>
      <xdr:colOff>469214</xdr:colOff>
      <xdr:row>75</xdr:row>
      <xdr:rowOff>354402</xdr:rowOff>
    </xdr:to>
    <xdr:pic>
      <xdr:nvPicPr>
        <xdr:cNvPr id="74" name="Grafik 34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5460" b="20000"/>
        <a:stretch/>
      </xdr:blipFill>
      <xdr:spPr bwMode="auto">
        <a:xfrm>
          <a:off x="1587979" y="25915190"/>
          <a:ext cx="176635" cy="30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197870</xdr:colOff>
      <xdr:row>78</xdr:row>
      <xdr:rowOff>117174</xdr:rowOff>
    </xdr:from>
    <xdr:to>
      <xdr:col>2</xdr:col>
      <xdr:colOff>641382</xdr:colOff>
      <xdr:row>78</xdr:row>
      <xdr:rowOff>276044</xdr:rowOff>
    </xdr:to>
    <xdr:grpSp>
      <xdr:nvGrpSpPr>
        <xdr:cNvPr id="75" name="Gruppieren 129"/>
        <xdr:cNvGrpSpPr>
          <a:grpSpLocks/>
        </xdr:cNvGrpSpPr>
      </xdr:nvGrpSpPr>
      <xdr:grpSpPr bwMode="auto">
        <a:xfrm>
          <a:off x="1588520" y="27453924"/>
          <a:ext cx="443512" cy="158870"/>
          <a:chOff x="1849755" y="26461853"/>
          <a:chExt cx="741045" cy="307205"/>
        </a:xfrm>
      </xdr:grpSpPr>
      <xdr:pic>
        <xdr:nvPicPr>
          <xdr:cNvPr id="76" name="Grafik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" name="Rechteck 131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298508</xdr:colOff>
      <xdr:row>79</xdr:row>
      <xdr:rowOff>47806</xdr:rowOff>
    </xdr:from>
    <xdr:to>
      <xdr:col>2</xdr:col>
      <xdr:colOff>490807</xdr:colOff>
      <xdr:row>79</xdr:row>
      <xdr:rowOff>353736</xdr:rowOff>
    </xdr:to>
    <xdr:pic>
      <xdr:nvPicPr>
        <xdr:cNvPr id="78" name="Grafik 1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3867" r="26851" b="9618"/>
        <a:stretch>
          <a:fillRect/>
        </a:stretch>
      </xdr:blipFill>
      <xdr:spPr bwMode="auto">
        <a:xfrm>
          <a:off x="1593908" y="27517906"/>
          <a:ext cx="192299" cy="30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230757</xdr:colOff>
      <xdr:row>77</xdr:row>
      <xdr:rowOff>113401</xdr:rowOff>
    </xdr:from>
    <xdr:to>
      <xdr:col>2</xdr:col>
      <xdr:colOff>573657</xdr:colOff>
      <xdr:row>77</xdr:row>
      <xdr:rowOff>294376</xdr:rowOff>
    </xdr:to>
    <xdr:pic>
      <xdr:nvPicPr>
        <xdr:cNvPr id="79" name="Grafik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26157" y="26783401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352425</xdr:colOff>
          <xdr:row>12</xdr:row>
          <xdr:rowOff>0</xdr:rowOff>
        </xdr:to>
        <xdr:sp macro="" textlink="">
          <xdr:nvSpPr>
            <xdr:cNvPr id="34834" name="Group Box 18" hidden="1">
              <a:extLst>
                <a:ext uri="{63B3BB69-23CF-44E3-9099-C40C66FF867C}">
                  <a14:compatExt spid="_x0000_s3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7</xdr:row>
          <xdr:rowOff>9525</xdr:rowOff>
        </xdr:from>
        <xdr:to>
          <xdr:col>8</xdr:col>
          <xdr:colOff>457200</xdr:colOff>
          <xdr:row>7</xdr:row>
          <xdr:rowOff>180975</xdr:rowOff>
        </xdr:to>
        <xdr:sp macro="" textlink="">
          <xdr:nvSpPr>
            <xdr:cNvPr id="34840" name="Option Button 24" hidden="1">
              <a:extLst>
                <a:ext uri="{63B3BB69-23CF-44E3-9099-C40C66FF867C}">
                  <a14:compatExt spid="_x0000_s34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34841" name="Option Button 25" hidden="1">
              <a:extLst>
                <a:ext uri="{63B3BB69-23CF-44E3-9099-C40C66FF867C}">
                  <a14:compatExt spid="_x0000_s34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159603</xdr:colOff>
      <xdr:row>81</xdr:row>
      <xdr:rowOff>147288</xdr:rowOff>
    </xdr:from>
    <xdr:to>
      <xdr:col>2</xdr:col>
      <xdr:colOff>621097</xdr:colOff>
      <xdr:row>81</xdr:row>
      <xdr:rowOff>452470</xdr:rowOff>
    </xdr:to>
    <xdr:pic>
      <xdr:nvPicPr>
        <xdr:cNvPr id="89" name="Grafik 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55003" y="284174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13</xdr:row>
          <xdr:rowOff>161925</xdr:rowOff>
        </xdr:from>
        <xdr:to>
          <xdr:col>12</xdr:col>
          <xdr:colOff>133350</xdr:colOff>
          <xdr:row>14</xdr:row>
          <xdr:rowOff>19050</xdr:rowOff>
        </xdr:to>
        <xdr:sp macro="" textlink="">
          <xdr:nvSpPr>
            <xdr:cNvPr id="34843" name="Option Button 27" hidden="1">
              <a:extLst>
                <a:ext uri="{63B3BB69-23CF-44E3-9099-C40C66FF867C}">
                  <a14:compatExt spid="_x0000_s34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202722</xdr:colOff>
      <xdr:row>26</xdr:row>
      <xdr:rowOff>52477</xdr:rowOff>
    </xdr:from>
    <xdr:to>
      <xdr:col>2</xdr:col>
      <xdr:colOff>587854</xdr:colOff>
      <xdr:row>26</xdr:row>
      <xdr:rowOff>354256</xdr:rowOff>
    </xdr:to>
    <xdr:pic>
      <xdr:nvPicPr>
        <xdr:cNvPr id="93" name="Grafik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98122" y="6319927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266016</xdr:colOff>
      <xdr:row>23</xdr:row>
      <xdr:rowOff>57400</xdr:rowOff>
    </xdr:from>
    <xdr:to>
      <xdr:col>2</xdr:col>
      <xdr:colOff>543107</xdr:colOff>
      <xdr:row>23</xdr:row>
      <xdr:rowOff>343150</xdr:rowOff>
    </xdr:to>
    <xdr:pic>
      <xdr:nvPicPr>
        <xdr:cNvPr id="94" name="Grafik 1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61416" y="5124700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178989</xdr:colOff>
      <xdr:row>24</xdr:row>
      <xdr:rowOff>57834</xdr:rowOff>
    </xdr:from>
    <xdr:to>
      <xdr:col>2</xdr:col>
      <xdr:colOff>620603</xdr:colOff>
      <xdr:row>24</xdr:row>
      <xdr:rowOff>352243</xdr:rowOff>
    </xdr:to>
    <xdr:pic>
      <xdr:nvPicPr>
        <xdr:cNvPr id="95" name="Grafik 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74389" y="5525184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164816</xdr:colOff>
      <xdr:row>25</xdr:row>
      <xdr:rowOff>53253</xdr:rowOff>
    </xdr:from>
    <xdr:to>
      <xdr:col>2</xdr:col>
      <xdr:colOff>623748</xdr:colOff>
      <xdr:row>25</xdr:row>
      <xdr:rowOff>356321</xdr:rowOff>
    </xdr:to>
    <xdr:pic>
      <xdr:nvPicPr>
        <xdr:cNvPr id="96" name="Grafik 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60216" y="5920653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223938</xdr:colOff>
      <xdr:row>54</xdr:row>
      <xdr:rowOff>53253</xdr:rowOff>
    </xdr:from>
    <xdr:to>
      <xdr:col>2</xdr:col>
      <xdr:colOff>552983</xdr:colOff>
      <xdr:row>54</xdr:row>
      <xdr:rowOff>356321</xdr:rowOff>
    </xdr:to>
    <xdr:pic>
      <xdr:nvPicPr>
        <xdr:cNvPr id="97" name="Grafik 1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19338" y="17522103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151941</xdr:colOff>
      <xdr:row>61</xdr:row>
      <xdr:rowOff>79553</xdr:rowOff>
    </xdr:from>
    <xdr:to>
      <xdr:col>2</xdr:col>
      <xdr:colOff>617099</xdr:colOff>
      <xdr:row>61</xdr:row>
      <xdr:rowOff>330022</xdr:rowOff>
    </xdr:to>
    <xdr:pic>
      <xdr:nvPicPr>
        <xdr:cNvPr id="98" name="Grafik 180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47341" y="20348753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23839</xdr:colOff>
      <xdr:row>0</xdr:row>
      <xdr:rowOff>128560</xdr:rowOff>
    </xdr:from>
    <xdr:to>
      <xdr:col>4</xdr:col>
      <xdr:colOff>814362</xdr:colOff>
      <xdr:row>6</xdr:row>
      <xdr:rowOff>47625</xdr:rowOff>
    </xdr:to>
    <xdr:pic>
      <xdr:nvPicPr>
        <xdr:cNvPr id="86" name="Grafik 3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1" r="11871" b="3818"/>
        <a:stretch/>
      </xdr:blipFill>
      <xdr:spPr bwMode="auto">
        <a:xfrm>
          <a:off x="1966939" y="128560"/>
          <a:ext cx="1504898" cy="147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34844" name="Option Button 28" hidden="1">
              <a:extLst>
                <a:ext uri="{63B3BB69-23CF-44E3-9099-C40C66FF867C}">
                  <a14:compatExt spid="_x0000_s34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34845" name="Option Button 29" hidden="1">
              <a:extLst>
                <a:ext uri="{63B3BB69-23CF-44E3-9099-C40C66FF867C}">
                  <a14:compatExt spid="_x0000_s34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34846" name="Option Button 30" hidden="1">
              <a:extLst>
                <a:ext uri="{63B3BB69-23CF-44E3-9099-C40C66FF867C}">
                  <a14:compatExt spid="_x0000_s34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352425</xdr:colOff>
          <xdr:row>8</xdr:row>
          <xdr:rowOff>0</xdr:rowOff>
        </xdr:to>
        <xdr:sp macro="" textlink="">
          <xdr:nvSpPr>
            <xdr:cNvPr id="43009" name="Group Box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352425</xdr:colOff>
          <xdr:row>20</xdr:row>
          <xdr:rowOff>0</xdr:rowOff>
        </xdr:to>
        <xdr:sp macro="" textlink="">
          <xdr:nvSpPr>
            <xdr:cNvPr id="43011" name="Group Box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28</xdr:row>
      <xdr:rowOff>114403</xdr:rowOff>
    </xdr:from>
    <xdr:to>
      <xdr:col>2</xdr:col>
      <xdr:colOff>532303</xdr:colOff>
      <xdr:row>28</xdr:row>
      <xdr:rowOff>304360</xdr:rowOff>
    </xdr:to>
    <xdr:pic>
      <xdr:nvPicPr>
        <xdr:cNvPr id="6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70993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29</xdr:row>
      <xdr:rowOff>62318</xdr:rowOff>
    </xdr:from>
    <xdr:to>
      <xdr:col>2</xdr:col>
      <xdr:colOff>584993</xdr:colOff>
      <xdr:row>29</xdr:row>
      <xdr:rowOff>357188</xdr:rowOff>
    </xdr:to>
    <xdr:pic>
      <xdr:nvPicPr>
        <xdr:cNvPr id="7" name="Grafik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75299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30</xdr:row>
      <xdr:rowOff>57149</xdr:rowOff>
    </xdr:from>
    <xdr:to>
      <xdr:col>2</xdr:col>
      <xdr:colOff>564911</xdr:colOff>
      <xdr:row>30</xdr:row>
      <xdr:rowOff>364330</xdr:rowOff>
    </xdr:to>
    <xdr:pic>
      <xdr:nvPicPr>
        <xdr:cNvPr id="8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9247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31</xdr:row>
      <xdr:rowOff>63500</xdr:rowOff>
    </xdr:from>
    <xdr:to>
      <xdr:col>2</xdr:col>
      <xdr:colOff>606320</xdr:colOff>
      <xdr:row>31</xdr:row>
      <xdr:rowOff>359570</xdr:rowOff>
    </xdr:to>
    <xdr:pic>
      <xdr:nvPicPr>
        <xdr:cNvPr id="9" name="Grafik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83312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43017" name="Option Button 9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43018" name="Option Button 10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43019" name="Option Button 11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43020" name="Option Button 12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28575</xdr:rowOff>
        </xdr:from>
        <xdr:to>
          <xdr:col>10</xdr:col>
          <xdr:colOff>314325</xdr:colOff>
          <xdr:row>15</xdr:row>
          <xdr:rowOff>0</xdr:rowOff>
        </xdr:to>
        <xdr:sp macro="" textlink="">
          <xdr:nvSpPr>
            <xdr:cNvPr id="43021" name="Option Button 13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9525</xdr:rowOff>
        </xdr:from>
        <xdr:to>
          <xdr:col>10</xdr:col>
          <xdr:colOff>314325</xdr:colOff>
          <xdr:row>15</xdr:row>
          <xdr:rowOff>171450</xdr:rowOff>
        </xdr:to>
        <xdr:sp macro="" textlink="">
          <xdr:nvSpPr>
            <xdr:cNvPr id="43022" name="Option Button 14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171450</xdr:rowOff>
        </xdr:to>
        <xdr:sp macro="" textlink="">
          <xdr:nvSpPr>
            <xdr:cNvPr id="43023" name="Option Button 15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9525</xdr:rowOff>
        </xdr:from>
        <xdr:to>
          <xdr:col>10</xdr:col>
          <xdr:colOff>314325</xdr:colOff>
          <xdr:row>17</xdr:row>
          <xdr:rowOff>171450</xdr:rowOff>
        </xdr:to>
        <xdr:sp macro="" textlink="">
          <xdr:nvSpPr>
            <xdr:cNvPr id="43024" name="Option Button 16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43025" name="Option Button 17" hidden="1">
              <a:extLst>
                <a:ext uri="{63B3BB69-23CF-44E3-9099-C40C66FF867C}">
                  <a14:compatExt spid="_x0000_s4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32</xdr:row>
      <xdr:rowOff>79975</xdr:rowOff>
    </xdr:from>
    <xdr:to>
      <xdr:col>2</xdr:col>
      <xdr:colOff>645534</xdr:colOff>
      <xdr:row>32</xdr:row>
      <xdr:rowOff>342361</xdr:rowOff>
    </xdr:to>
    <xdr:pic>
      <xdr:nvPicPr>
        <xdr:cNvPr id="28" name="Grafik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87477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33</xdr:row>
      <xdr:rowOff>58409</xdr:rowOff>
    </xdr:from>
    <xdr:to>
      <xdr:col>2</xdr:col>
      <xdr:colOff>525673</xdr:colOff>
      <xdr:row>33</xdr:row>
      <xdr:rowOff>355066</xdr:rowOff>
    </xdr:to>
    <xdr:pic>
      <xdr:nvPicPr>
        <xdr:cNvPr id="29" name="Grafik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91262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34</xdr:row>
      <xdr:rowOff>58407</xdr:rowOff>
    </xdr:from>
    <xdr:to>
      <xdr:col>2</xdr:col>
      <xdr:colOff>593018</xdr:colOff>
      <xdr:row>34</xdr:row>
      <xdr:rowOff>363926</xdr:rowOff>
    </xdr:to>
    <xdr:pic>
      <xdr:nvPicPr>
        <xdr:cNvPr id="30" name="Grafi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95262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35</xdr:row>
      <xdr:rowOff>62002</xdr:rowOff>
    </xdr:from>
    <xdr:to>
      <xdr:col>2</xdr:col>
      <xdr:colOff>597559</xdr:colOff>
      <xdr:row>35</xdr:row>
      <xdr:rowOff>363927</xdr:rowOff>
    </xdr:to>
    <xdr:pic>
      <xdr:nvPicPr>
        <xdr:cNvPr id="31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9299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36</xdr:row>
      <xdr:rowOff>59126</xdr:rowOff>
    </xdr:from>
    <xdr:to>
      <xdr:col>2</xdr:col>
      <xdr:colOff>583183</xdr:colOff>
      <xdr:row>36</xdr:row>
      <xdr:rowOff>363926</xdr:rowOff>
    </xdr:to>
    <xdr:pic>
      <xdr:nvPicPr>
        <xdr:cNvPr id="32" name="Grafik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103270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37</xdr:row>
      <xdr:rowOff>58410</xdr:rowOff>
    </xdr:from>
    <xdr:to>
      <xdr:col>2</xdr:col>
      <xdr:colOff>611935</xdr:colOff>
      <xdr:row>37</xdr:row>
      <xdr:rowOff>367524</xdr:rowOff>
    </xdr:to>
    <xdr:pic>
      <xdr:nvPicPr>
        <xdr:cNvPr id="33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7264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39</xdr:row>
      <xdr:rowOff>54812</xdr:rowOff>
    </xdr:from>
    <xdr:to>
      <xdr:col>2</xdr:col>
      <xdr:colOff>608342</xdr:colOff>
      <xdr:row>39</xdr:row>
      <xdr:rowOff>363925</xdr:rowOff>
    </xdr:to>
    <xdr:pic>
      <xdr:nvPicPr>
        <xdr:cNvPr id="34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15229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40</xdr:row>
      <xdr:rowOff>67255</xdr:rowOff>
    </xdr:from>
    <xdr:to>
      <xdr:col>2</xdr:col>
      <xdr:colOff>640693</xdr:colOff>
      <xdr:row>40</xdr:row>
      <xdr:rowOff>363926</xdr:rowOff>
    </xdr:to>
    <xdr:pic>
      <xdr:nvPicPr>
        <xdr:cNvPr id="35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93540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38</xdr:row>
      <xdr:rowOff>54815</xdr:rowOff>
    </xdr:from>
    <xdr:to>
      <xdr:col>2</xdr:col>
      <xdr:colOff>611935</xdr:colOff>
      <xdr:row>38</xdr:row>
      <xdr:rowOff>363929</xdr:rowOff>
    </xdr:to>
    <xdr:pic>
      <xdr:nvPicPr>
        <xdr:cNvPr id="36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11228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41</xdr:row>
      <xdr:rowOff>63660</xdr:rowOff>
    </xdr:from>
    <xdr:to>
      <xdr:col>2</xdr:col>
      <xdr:colOff>640693</xdr:colOff>
      <xdr:row>41</xdr:row>
      <xdr:rowOff>360331</xdr:rowOff>
    </xdr:to>
    <xdr:pic>
      <xdr:nvPicPr>
        <xdr:cNvPr id="37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23318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177919</xdr:colOff>
      <xdr:row>43</xdr:row>
      <xdr:rowOff>59845</xdr:rowOff>
    </xdr:from>
    <xdr:to>
      <xdr:col>2</xdr:col>
      <xdr:colOff>557483</xdr:colOff>
      <xdr:row>43</xdr:row>
      <xdr:rowOff>360333</xdr:rowOff>
    </xdr:to>
    <xdr:pic>
      <xdr:nvPicPr>
        <xdr:cNvPr id="38" name="Grafik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8" t="12238" r="13945" b="8911"/>
        <a:stretch>
          <a:fillRect/>
        </a:stretch>
      </xdr:blipFill>
      <xdr:spPr bwMode="auto">
        <a:xfrm>
          <a:off x="1473319" y="13128145"/>
          <a:ext cx="379564" cy="30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42</xdr:row>
      <xdr:rowOff>69191</xdr:rowOff>
    </xdr:from>
    <xdr:to>
      <xdr:col>2</xdr:col>
      <xdr:colOff>567905</xdr:colOff>
      <xdr:row>42</xdr:row>
      <xdr:rowOff>354941</xdr:rowOff>
    </xdr:to>
    <xdr:pic>
      <xdr:nvPicPr>
        <xdr:cNvPr id="39" name="Grafik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27374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44</xdr:row>
      <xdr:rowOff>62003</xdr:rowOff>
    </xdr:from>
    <xdr:to>
      <xdr:col>2</xdr:col>
      <xdr:colOff>575814</xdr:colOff>
      <xdr:row>44</xdr:row>
      <xdr:rowOff>357278</xdr:rowOff>
    </xdr:to>
    <xdr:pic>
      <xdr:nvPicPr>
        <xdr:cNvPr id="41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53035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45</xdr:row>
      <xdr:rowOff>62002</xdr:rowOff>
    </xdr:from>
    <xdr:to>
      <xdr:col>2</xdr:col>
      <xdr:colOff>575814</xdr:colOff>
      <xdr:row>45</xdr:row>
      <xdr:rowOff>357277</xdr:rowOff>
    </xdr:to>
    <xdr:pic>
      <xdr:nvPicPr>
        <xdr:cNvPr id="43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9304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238482</xdr:colOff>
      <xdr:row>47</xdr:row>
      <xdr:rowOff>63259</xdr:rowOff>
    </xdr:from>
    <xdr:to>
      <xdr:col>2</xdr:col>
      <xdr:colOff>515657</xdr:colOff>
      <xdr:row>47</xdr:row>
      <xdr:rowOff>356738</xdr:rowOff>
    </xdr:to>
    <xdr:pic>
      <xdr:nvPicPr>
        <xdr:cNvPr id="44" name="Grafik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4" t="4420" r="20264" b="1717"/>
        <a:stretch>
          <a:fillRect/>
        </a:stretch>
      </xdr:blipFill>
      <xdr:spPr bwMode="auto">
        <a:xfrm>
          <a:off x="1533882" y="14731759"/>
          <a:ext cx="277175" cy="29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48</xdr:row>
      <xdr:rowOff>63261</xdr:rowOff>
    </xdr:from>
    <xdr:to>
      <xdr:col>2</xdr:col>
      <xdr:colOff>597556</xdr:colOff>
      <xdr:row>48</xdr:row>
      <xdr:rowOff>364689</xdr:rowOff>
    </xdr:to>
    <xdr:pic>
      <xdr:nvPicPr>
        <xdr:cNvPr id="45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46</xdr:row>
      <xdr:rowOff>60533</xdr:rowOff>
    </xdr:from>
    <xdr:to>
      <xdr:col>2</xdr:col>
      <xdr:colOff>514890</xdr:colOff>
      <xdr:row>46</xdr:row>
      <xdr:rowOff>356739</xdr:rowOff>
    </xdr:to>
    <xdr:pic>
      <xdr:nvPicPr>
        <xdr:cNvPr id="46" name="Grafik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43289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49</xdr:row>
      <xdr:rowOff>59666</xdr:rowOff>
    </xdr:from>
    <xdr:to>
      <xdr:col>2</xdr:col>
      <xdr:colOff>597556</xdr:colOff>
      <xdr:row>49</xdr:row>
      <xdr:rowOff>361094</xdr:rowOff>
    </xdr:to>
    <xdr:pic>
      <xdr:nvPicPr>
        <xdr:cNvPr id="47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50</xdr:row>
      <xdr:rowOff>63260</xdr:rowOff>
    </xdr:from>
    <xdr:to>
      <xdr:col>2</xdr:col>
      <xdr:colOff>597556</xdr:colOff>
      <xdr:row>50</xdr:row>
      <xdr:rowOff>364688</xdr:rowOff>
    </xdr:to>
    <xdr:pic>
      <xdr:nvPicPr>
        <xdr:cNvPr id="48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9319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51</xdr:row>
      <xdr:rowOff>59665</xdr:rowOff>
    </xdr:from>
    <xdr:to>
      <xdr:col>2</xdr:col>
      <xdr:colOff>597556</xdr:colOff>
      <xdr:row>51</xdr:row>
      <xdr:rowOff>361093</xdr:rowOff>
    </xdr:to>
    <xdr:pic>
      <xdr:nvPicPr>
        <xdr:cNvPr id="49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63283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52</xdr:row>
      <xdr:rowOff>62003</xdr:rowOff>
    </xdr:from>
    <xdr:to>
      <xdr:col>2</xdr:col>
      <xdr:colOff>588516</xdr:colOff>
      <xdr:row>52</xdr:row>
      <xdr:rowOff>356739</xdr:rowOff>
    </xdr:to>
    <xdr:pic>
      <xdr:nvPicPr>
        <xdr:cNvPr id="50" name="Grafik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6730753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54</xdr:row>
      <xdr:rowOff>63261</xdr:rowOff>
    </xdr:from>
    <xdr:to>
      <xdr:col>2</xdr:col>
      <xdr:colOff>554074</xdr:colOff>
      <xdr:row>54</xdr:row>
      <xdr:rowOff>360332</xdr:rowOff>
    </xdr:to>
    <xdr:pic>
      <xdr:nvPicPr>
        <xdr:cNvPr id="51" name="Grafik 180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75321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56</xdr:row>
      <xdr:rowOff>57330</xdr:rowOff>
    </xdr:from>
    <xdr:to>
      <xdr:col>2</xdr:col>
      <xdr:colOff>569077</xdr:colOff>
      <xdr:row>56</xdr:row>
      <xdr:rowOff>363927</xdr:rowOff>
    </xdr:to>
    <xdr:pic>
      <xdr:nvPicPr>
        <xdr:cNvPr id="52" name="Grafik 18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83262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57</xdr:row>
      <xdr:rowOff>66855</xdr:rowOff>
    </xdr:from>
    <xdr:to>
      <xdr:col>2</xdr:col>
      <xdr:colOff>629917</xdr:colOff>
      <xdr:row>57</xdr:row>
      <xdr:rowOff>356739</xdr:rowOff>
    </xdr:to>
    <xdr:pic>
      <xdr:nvPicPr>
        <xdr:cNvPr id="53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87358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53</xdr:row>
      <xdr:rowOff>59664</xdr:rowOff>
    </xdr:from>
    <xdr:to>
      <xdr:col>2</xdr:col>
      <xdr:colOff>524416</xdr:colOff>
      <xdr:row>53</xdr:row>
      <xdr:rowOff>363927</xdr:rowOff>
    </xdr:to>
    <xdr:pic>
      <xdr:nvPicPr>
        <xdr:cNvPr id="54" name="Grafik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71284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58</xdr:row>
      <xdr:rowOff>58408</xdr:rowOff>
    </xdr:from>
    <xdr:to>
      <xdr:col>2</xdr:col>
      <xdr:colOff>477051</xdr:colOff>
      <xdr:row>58</xdr:row>
      <xdr:rowOff>360332</xdr:rowOff>
    </xdr:to>
    <xdr:pic>
      <xdr:nvPicPr>
        <xdr:cNvPr id="55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1274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59</xdr:row>
      <xdr:rowOff>62003</xdr:rowOff>
    </xdr:from>
    <xdr:to>
      <xdr:col>2</xdr:col>
      <xdr:colOff>477051</xdr:colOff>
      <xdr:row>59</xdr:row>
      <xdr:rowOff>363927</xdr:rowOff>
    </xdr:to>
    <xdr:pic>
      <xdr:nvPicPr>
        <xdr:cNvPr id="56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95311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60</xdr:row>
      <xdr:rowOff>62003</xdr:rowOff>
    </xdr:from>
    <xdr:to>
      <xdr:col>2</xdr:col>
      <xdr:colOff>600642</xdr:colOff>
      <xdr:row>60</xdr:row>
      <xdr:rowOff>360333</xdr:rowOff>
    </xdr:to>
    <xdr:pic>
      <xdr:nvPicPr>
        <xdr:cNvPr id="57" name="Grafik 180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9311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187986</xdr:colOff>
      <xdr:row>63</xdr:row>
      <xdr:rowOff>65597</xdr:rowOff>
    </xdr:from>
    <xdr:to>
      <xdr:col>2</xdr:col>
      <xdr:colOff>568040</xdr:colOff>
      <xdr:row>63</xdr:row>
      <xdr:rowOff>360333</xdr:rowOff>
    </xdr:to>
    <xdr:pic>
      <xdr:nvPicPr>
        <xdr:cNvPr id="58" name="Grafik 18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5" t="15685" r="19672" b="16676"/>
        <a:stretch>
          <a:fillRect/>
        </a:stretch>
      </xdr:blipFill>
      <xdr:spPr bwMode="auto">
        <a:xfrm>
          <a:off x="1483386" y="21134897"/>
          <a:ext cx="380054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159055</xdr:colOff>
      <xdr:row>64</xdr:row>
      <xdr:rowOff>57150</xdr:rowOff>
    </xdr:from>
    <xdr:to>
      <xdr:col>2</xdr:col>
      <xdr:colOff>619221</xdr:colOff>
      <xdr:row>64</xdr:row>
      <xdr:rowOff>363927</xdr:rowOff>
    </xdr:to>
    <xdr:pic>
      <xdr:nvPicPr>
        <xdr:cNvPr id="59" name="Grafik 18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9" t="17393" r="1051" b="7680"/>
        <a:stretch>
          <a:fillRect/>
        </a:stretch>
      </xdr:blipFill>
      <xdr:spPr bwMode="auto">
        <a:xfrm>
          <a:off x="1454455" y="21526500"/>
          <a:ext cx="460166" cy="30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135508</xdr:colOff>
      <xdr:row>65</xdr:row>
      <xdr:rowOff>63079</xdr:rowOff>
    </xdr:from>
    <xdr:to>
      <xdr:col>2</xdr:col>
      <xdr:colOff>607142</xdr:colOff>
      <xdr:row>65</xdr:row>
      <xdr:rowOff>356738</xdr:rowOff>
    </xdr:to>
    <xdr:pic>
      <xdr:nvPicPr>
        <xdr:cNvPr id="60" name="Grafik 18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3" t="22664" r="17278" b="20187"/>
        <a:stretch>
          <a:fillRect/>
        </a:stretch>
      </xdr:blipFill>
      <xdr:spPr bwMode="auto">
        <a:xfrm>
          <a:off x="1430908" y="21932479"/>
          <a:ext cx="471634" cy="29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66</xdr:row>
      <xdr:rowOff>59668</xdr:rowOff>
    </xdr:from>
    <xdr:to>
      <xdr:col>2</xdr:col>
      <xdr:colOff>496724</xdr:colOff>
      <xdr:row>66</xdr:row>
      <xdr:rowOff>360334</xdr:rowOff>
    </xdr:to>
    <xdr:pic>
      <xdr:nvPicPr>
        <xdr:cNvPr id="61" name="Grafik 18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23291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67</xdr:row>
      <xdr:rowOff>59486</xdr:rowOff>
    </xdr:from>
    <xdr:to>
      <xdr:col>2</xdr:col>
      <xdr:colOff>592475</xdr:colOff>
      <xdr:row>67</xdr:row>
      <xdr:rowOff>363927</xdr:rowOff>
    </xdr:to>
    <xdr:pic>
      <xdr:nvPicPr>
        <xdr:cNvPr id="62" name="Grafik 181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27289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61</xdr:row>
      <xdr:rowOff>63262</xdr:rowOff>
    </xdr:from>
    <xdr:to>
      <xdr:col>2</xdr:col>
      <xdr:colOff>564622</xdr:colOff>
      <xdr:row>61</xdr:row>
      <xdr:rowOff>356738</xdr:rowOff>
    </xdr:to>
    <xdr:pic>
      <xdr:nvPicPr>
        <xdr:cNvPr id="63" name="Grafik 180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203324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68</xdr:row>
      <xdr:rowOff>58408</xdr:rowOff>
    </xdr:from>
    <xdr:to>
      <xdr:col>2</xdr:col>
      <xdr:colOff>530349</xdr:colOff>
      <xdr:row>68</xdr:row>
      <xdr:rowOff>360333</xdr:rowOff>
    </xdr:to>
    <xdr:pic>
      <xdr:nvPicPr>
        <xdr:cNvPr id="64" name="Grafik 181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31279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69</xdr:row>
      <xdr:rowOff>62001</xdr:rowOff>
    </xdr:from>
    <xdr:to>
      <xdr:col>2</xdr:col>
      <xdr:colOff>549693</xdr:colOff>
      <xdr:row>69</xdr:row>
      <xdr:rowOff>363927</xdr:rowOff>
    </xdr:to>
    <xdr:pic>
      <xdr:nvPicPr>
        <xdr:cNvPr id="65" name="Grafik 18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35316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70</xdr:row>
      <xdr:rowOff>62002</xdr:rowOff>
    </xdr:from>
    <xdr:to>
      <xdr:col>2</xdr:col>
      <xdr:colOff>503461</xdr:colOff>
      <xdr:row>70</xdr:row>
      <xdr:rowOff>360333</xdr:rowOff>
    </xdr:to>
    <xdr:pic>
      <xdr:nvPicPr>
        <xdr:cNvPr id="66" name="Grafik 18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9316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71</xdr:row>
      <xdr:rowOff>56970</xdr:rowOff>
    </xdr:from>
    <xdr:to>
      <xdr:col>2</xdr:col>
      <xdr:colOff>564635</xdr:colOff>
      <xdr:row>71</xdr:row>
      <xdr:rowOff>360332</xdr:rowOff>
    </xdr:to>
    <xdr:pic>
      <xdr:nvPicPr>
        <xdr:cNvPr id="67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72</xdr:row>
      <xdr:rowOff>60564</xdr:rowOff>
    </xdr:from>
    <xdr:to>
      <xdr:col>2</xdr:col>
      <xdr:colOff>564635</xdr:colOff>
      <xdr:row>72</xdr:row>
      <xdr:rowOff>363926</xdr:rowOff>
    </xdr:to>
    <xdr:pic>
      <xdr:nvPicPr>
        <xdr:cNvPr id="68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73</xdr:row>
      <xdr:rowOff>56970</xdr:rowOff>
    </xdr:from>
    <xdr:to>
      <xdr:col>2</xdr:col>
      <xdr:colOff>564635</xdr:colOff>
      <xdr:row>73</xdr:row>
      <xdr:rowOff>360332</xdr:rowOff>
    </xdr:to>
    <xdr:pic>
      <xdr:nvPicPr>
        <xdr:cNvPr id="69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267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74</xdr:row>
      <xdr:rowOff>60563</xdr:rowOff>
    </xdr:from>
    <xdr:to>
      <xdr:col>2</xdr:col>
      <xdr:colOff>564635</xdr:colOff>
      <xdr:row>74</xdr:row>
      <xdr:rowOff>363925</xdr:rowOff>
    </xdr:to>
    <xdr:pic>
      <xdr:nvPicPr>
        <xdr:cNvPr id="70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5304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75</xdr:row>
      <xdr:rowOff>60563</xdr:rowOff>
    </xdr:from>
    <xdr:to>
      <xdr:col>2</xdr:col>
      <xdr:colOff>564635</xdr:colOff>
      <xdr:row>75</xdr:row>
      <xdr:rowOff>363925</xdr:rowOff>
    </xdr:to>
    <xdr:pic>
      <xdr:nvPicPr>
        <xdr:cNvPr id="71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9304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77</xdr:row>
      <xdr:rowOff>58408</xdr:rowOff>
    </xdr:from>
    <xdr:to>
      <xdr:col>2</xdr:col>
      <xdr:colOff>594684</xdr:colOff>
      <xdr:row>77</xdr:row>
      <xdr:rowOff>363208</xdr:rowOff>
    </xdr:to>
    <xdr:pic>
      <xdr:nvPicPr>
        <xdr:cNvPr id="72" name="Grafik 18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67284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81</xdr:row>
      <xdr:rowOff>63260</xdr:rowOff>
    </xdr:from>
    <xdr:to>
      <xdr:col>2</xdr:col>
      <xdr:colOff>588843</xdr:colOff>
      <xdr:row>81</xdr:row>
      <xdr:rowOff>360332</xdr:rowOff>
    </xdr:to>
    <xdr:pic>
      <xdr:nvPicPr>
        <xdr:cNvPr id="73" name="Grafik 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83334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273529</xdr:colOff>
      <xdr:row>76</xdr:row>
      <xdr:rowOff>54815</xdr:rowOff>
    </xdr:from>
    <xdr:to>
      <xdr:col>2</xdr:col>
      <xdr:colOff>450164</xdr:colOff>
      <xdr:row>76</xdr:row>
      <xdr:rowOff>363927</xdr:rowOff>
    </xdr:to>
    <xdr:pic>
      <xdr:nvPicPr>
        <xdr:cNvPr id="74" name="Grafik 34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5460" b="20000"/>
        <a:stretch/>
      </xdr:blipFill>
      <xdr:spPr bwMode="auto">
        <a:xfrm>
          <a:off x="1568929" y="26324765"/>
          <a:ext cx="176635" cy="30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178820</xdr:colOff>
      <xdr:row>79</xdr:row>
      <xdr:rowOff>126699</xdr:rowOff>
    </xdr:from>
    <xdr:to>
      <xdr:col>2</xdr:col>
      <xdr:colOff>622332</xdr:colOff>
      <xdr:row>79</xdr:row>
      <xdr:rowOff>285569</xdr:rowOff>
    </xdr:to>
    <xdr:grpSp>
      <xdr:nvGrpSpPr>
        <xdr:cNvPr id="75" name="Gruppieren 129"/>
        <xdr:cNvGrpSpPr>
          <a:grpSpLocks/>
        </xdr:cNvGrpSpPr>
      </xdr:nvGrpSpPr>
      <xdr:grpSpPr bwMode="auto">
        <a:xfrm>
          <a:off x="1569470" y="27868262"/>
          <a:ext cx="443512" cy="158870"/>
          <a:chOff x="1849755" y="26461853"/>
          <a:chExt cx="741045" cy="307205"/>
        </a:xfrm>
      </xdr:grpSpPr>
      <xdr:pic>
        <xdr:nvPicPr>
          <xdr:cNvPr id="76" name="Grafik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" name="Rechteck 131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279458</xdr:colOff>
      <xdr:row>80</xdr:row>
      <xdr:rowOff>57331</xdr:rowOff>
    </xdr:from>
    <xdr:to>
      <xdr:col>2</xdr:col>
      <xdr:colOff>471757</xdr:colOff>
      <xdr:row>80</xdr:row>
      <xdr:rowOff>363261</xdr:rowOff>
    </xdr:to>
    <xdr:pic>
      <xdr:nvPicPr>
        <xdr:cNvPr id="78" name="Grafik 1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3867" r="26851" b="9618"/>
        <a:stretch>
          <a:fillRect/>
        </a:stretch>
      </xdr:blipFill>
      <xdr:spPr bwMode="auto">
        <a:xfrm>
          <a:off x="1574858" y="27927481"/>
          <a:ext cx="192299" cy="30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78</xdr:row>
      <xdr:rowOff>122926</xdr:rowOff>
    </xdr:from>
    <xdr:to>
      <xdr:col>2</xdr:col>
      <xdr:colOff>554607</xdr:colOff>
      <xdr:row>78</xdr:row>
      <xdr:rowOff>303901</xdr:rowOff>
    </xdr:to>
    <xdr:pic>
      <xdr:nvPicPr>
        <xdr:cNvPr id="79" name="Grafik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71929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352425</xdr:colOff>
          <xdr:row>12</xdr:row>
          <xdr:rowOff>0</xdr:rowOff>
        </xdr:to>
        <xdr:sp macro="" textlink="">
          <xdr:nvSpPr>
            <xdr:cNvPr id="43026" name="Group Box 18" hidden="1">
              <a:extLst>
                <a:ext uri="{63B3BB69-23CF-44E3-9099-C40C66FF867C}">
                  <a14:compatExt spid="_x0000_s4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7</xdr:row>
          <xdr:rowOff>9525</xdr:rowOff>
        </xdr:from>
        <xdr:to>
          <xdr:col>8</xdr:col>
          <xdr:colOff>457200</xdr:colOff>
          <xdr:row>7</xdr:row>
          <xdr:rowOff>180975</xdr:rowOff>
        </xdr:to>
        <xdr:sp macro="" textlink="">
          <xdr:nvSpPr>
            <xdr:cNvPr id="43032" name="Option Button 24" hidden="1">
              <a:extLst>
                <a:ext uri="{63B3BB69-23CF-44E3-9099-C40C66FF867C}">
                  <a14:compatExt spid="_x0000_s4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43033" name="Option Button 25" hidden="1">
              <a:extLst>
                <a:ext uri="{63B3BB69-23CF-44E3-9099-C40C66FF867C}">
                  <a14:compatExt spid="_x0000_s4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82</xdr:row>
      <xdr:rowOff>166338</xdr:rowOff>
    </xdr:from>
    <xdr:to>
      <xdr:col>2</xdr:col>
      <xdr:colOff>602047</xdr:colOff>
      <xdr:row>82</xdr:row>
      <xdr:rowOff>471520</xdr:rowOff>
    </xdr:to>
    <xdr:pic>
      <xdr:nvPicPr>
        <xdr:cNvPr id="89" name="Grafik 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8836588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95250</xdr:colOff>
          <xdr:row>13</xdr:row>
          <xdr:rowOff>114300</xdr:rowOff>
        </xdr:from>
        <xdr:to>
          <xdr:col>12</xdr:col>
          <xdr:colOff>142875</xdr:colOff>
          <xdr:row>13</xdr:row>
          <xdr:rowOff>161925</xdr:rowOff>
        </xdr:to>
        <xdr:sp macro="" textlink="">
          <xdr:nvSpPr>
            <xdr:cNvPr id="43035" name="Option Button 27" hidden="1">
              <a:extLst>
                <a:ext uri="{63B3BB69-23CF-44E3-9099-C40C66FF867C}">
                  <a14:compatExt spid="_x0000_s4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27</xdr:row>
      <xdr:rowOff>62002</xdr:rowOff>
    </xdr:from>
    <xdr:to>
      <xdr:col>2</xdr:col>
      <xdr:colOff>568804</xdr:colOff>
      <xdr:row>27</xdr:row>
      <xdr:rowOff>363781</xdr:rowOff>
    </xdr:to>
    <xdr:pic>
      <xdr:nvPicPr>
        <xdr:cNvPr id="93" name="Grafik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67295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246966</xdr:colOff>
      <xdr:row>23</xdr:row>
      <xdr:rowOff>66925</xdr:rowOff>
    </xdr:from>
    <xdr:to>
      <xdr:col>2</xdr:col>
      <xdr:colOff>524057</xdr:colOff>
      <xdr:row>23</xdr:row>
      <xdr:rowOff>352675</xdr:rowOff>
    </xdr:to>
    <xdr:pic>
      <xdr:nvPicPr>
        <xdr:cNvPr id="94" name="Grafik 1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8" r="11363"/>
        <a:stretch>
          <a:fillRect/>
        </a:stretch>
      </xdr:blipFill>
      <xdr:spPr bwMode="auto">
        <a:xfrm>
          <a:off x="1542366" y="5134225"/>
          <a:ext cx="277091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159939</xdr:colOff>
      <xdr:row>24</xdr:row>
      <xdr:rowOff>67359</xdr:rowOff>
    </xdr:from>
    <xdr:to>
      <xdr:col>2</xdr:col>
      <xdr:colOff>601553</xdr:colOff>
      <xdr:row>24</xdr:row>
      <xdr:rowOff>361768</xdr:rowOff>
    </xdr:to>
    <xdr:pic>
      <xdr:nvPicPr>
        <xdr:cNvPr id="95" name="Grafik 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8" t="16801" r="8621" b="20596"/>
        <a:stretch>
          <a:fillRect/>
        </a:stretch>
      </xdr:blipFill>
      <xdr:spPr bwMode="auto">
        <a:xfrm>
          <a:off x="1455339" y="5534709"/>
          <a:ext cx="441614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145766</xdr:colOff>
      <xdr:row>25</xdr:row>
      <xdr:rowOff>62778</xdr:rowOff>
    </xdr:from>
    <xdr:to>
      <xdr:col>2</xdr:col>
      <xdr:colOff>604698</xdr:colOff>
      <xdr:row>25</xdr:row>
      <xdr:rowOff>365846</xdr:rowOff>
    </xdr:to>
    <xdr:pic>
      <xdr:nvPicPr>
        <xdr:cNvPr id="96" name="Grafik 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3" t="17323" r="7237" b="13597"/>
        <a:stretch>
          <a:fillRect/>
        </a:stretch>
      </xdr:blipFill>
      <xdr:spPr bwMode="auto">
        <a:xfrm>
          <a:off x="1441166" y="5930178"/>
          <a:ext cx="458932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204888</xdr:colOff>
      <xdr:row>55</xdr:row>
      <xdr:rowOff>62778</xdr:rowOff>
    </xdr:from>
    <xdr:to>
      <xdr:col>2</xdr:col>
      <xdr:colOff>533933</xdr:colOff>
      <xdr:row>55</xdr:row>
      <xdr:rowOff>365846</xdr:rowOff>
    </xdr:to>
    <xdr:pic>
      <xdr:nvPicPr>
        <xdr:cNvPr id="97" name="Grafik 1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12" t="7323" r="7765" b="6566"/>
        <a:stretch>
          <a:fillRect/>
        </a:stretch>
      </xdr:blipFill>
      <xdr:spPr bwMode="auto">
        <a:xfrm>
          <a:off x="1500288" y="17931678"/>
          <a:ext cx="32904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132891</xdr:colOff>
      <xdr:row>62</xdr:row>
      <xdr:rowOff>89078</xdr:rowOff>
    </xdr:from>
    <xdr:to>
      <xdr:col>2</xdr:col>
      <xdr:colOff>598049</xdr:colOff>
      <xdr:row>62</xdr:row>
      <xdr:rowOff>339547</xdr:rowOff>
    </xdr:to>
    <xdr:pic>
      <xdr:nvPicPr>
        <xdr:cNvPr id="98" name="Grafik 180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428291" y="20758328"/>
          <a:ext cx="465158" cy="250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26</xdr:row>
      <xdr:rowOff>66675</xdr:rowOff>
    </xdr:from>
    <xdr:to>
      <xdr:col>2</xdr:col>
      <xdr:colOff>588545</xdr:colOff>
      <xdr:row>26</xdr:row>
      <xdr:rowOff>342900</xdr:rowOff>
    </xdr:to>
    <xdr:pic>
      <xdr:nvPicPr>
        <xdr:cNvPr id="100" name="Grafik 10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92" t="19756" r="20074" b="16425"/>
        <a:stretch>
          <a:fillRect/>
        </a:stretch>
      </xdr:blipFill>
      <xdr:spPr bwMode="auto">
        <a:xfrm>
          <a:off x="1447800" y="6334125"/>
          <a:ext cx="43614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0</xdr:row>
      <xdr:rowOff>66675</xdr:rowOff>
    </xdr:from>
    <xdr:to>
      <xdr:col>4</xdr:col>
      <xdr:colOff>733425</xdr:colOff>
      <xdr:row>5</xdr:row>
      <xdr:rowOff>209550</xdr:rowOff>
    </xdr:to>
    <xdr:pic>
      <xdr:nvPicPr>
        <xdr:cNvPr id="87" name="Grafik 11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0" t="10370" r="20914" b="6482"/>
        <a:stretch>
          <a:fillRect/>
        </a:stretch>
      </xdr:blipFill>
      <xdr:spPr bwMode="auto">
        <a:xfrm>
          <a:off x="1828800" y="66675"/>
          <a:ext cx="16954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43036" name="Option Button 28" hidden="1">
              <a:extLst>
                <a:ext uri="{63B3BB69-23CF-44E3-9099-C40C66FF867C}">
                  <a14:compatExt spid="_x0000_s4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43037" name="Option Button 29" hidden="1">
              <a:extLst>
                <a:ext uri="{63B3BB69-23CF-44E3-9099-C40C66FF867C}">
                  <a14:compatExt spid="_x0000_s4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43038" name="Option Button 30" hidden="1">
              <a:extLst>
                <a:ext uri="{63B3BB69-23CF-44E3-9099-C40C66FF867C}">
                  <a14:compatExt spid="_x0000_s4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352425</xdr:colOff>
          <xdr:row>8</xdr:row>
          <xdr:rowOff>0</xdr:rowOff>
        </xdr:to>
        <xdr:sp macro="" textlink="">
          <xdr:nvSpPr>
            <xdr:cNvPr id="50177" name="Group Box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352425</xdr:colOff>
          <xdr:row>20</xdr:row>
          <xdr:rowOff>0</xdr:rowOff>
        </xdr:to>
        <xdr:sp macro="" textlink="">
          <xdr:nvSpPr>
            <xdr:cNvPr id="50179" name="Group Box 3" hidden="1">
              <a:extLst>
                <a:ext uri="{63B3BB69-23CF-44E3-9099-C40C66FF867C}">
                  <a14:compatExt spid="_x0000_s50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xdr:twoCellAnchor>
    <xdr:from>
      <xdr:col>2</xdr:col>
      <xdr:colOff>177167</xdr:colOff>
      <xdr:row>26</xdr:row>
      <xdr:rowOff>114403</xdr:rowOff>
    </xdr:from>
    <xdr:to>
      <xdr:col>2</xdr:col>
      <xdr:colOff>532303</xdr:colOff>
      <xdr:row>26</xdr:row>
      <xdr:rowOff>304360</xdr:rowOff>
    </xdr:to>
    <xdr:pic>
      <xdr:nvPicPr>
        <xdr:cNvPr id="6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4" t="14166" r="39500" b="13165"/>
        <a:stretch>
          <a:fillRect/>
        </a:stretch>
      </xdr:blipFill>
      <xdr:spPr bwMode="auto">
        <a:xfrm rot="4151392">
          <a:off x="1555156" y="6299264"/>
          <a:ext cx="189957" cy="355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185945</xdr:colOff>
      <xdr:row>27</xdr:row>
      <xdr:rowOff>62318</xdr:rowOff>
    </xdr:from>
    <xdr:to>
      <xdr:col>2</xdr:col>
      <xdr:colOff>584993</xdr:colOff>
      <xdr:row>27</xdr:row>
      <xdr:rowOff>357188</xdr:rowOff>
    </xdr:to>
    <xdr:pic>
      <xdr:nvPicPr>
        <xdr:cNvPr id="7" name="Grafik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345" y="6729818"/>
          <a:ext cx="399048" cy="29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196745</xdr:colOff>
      <xdr:row>28</xdr:row>
      <xdr:rowOff>57149</xdr:rowOff>
    </xdr:from>
    <xdr:to>
      <xdr:col>2</xdr:col>
      <xdr:colOff>564911</xdr:colOff>
      <xdr:row>28</xdr:row>
      <xdr:rowOff>364330</xdr:rowOff>
    </xdr:to>
    <xdr:pic>
      <xdr:nvPicPr>
        <xdr:cNvPr id="8" name="Grafik 10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33" t="270" r="4582" b="270"/>
        <a:stretch>
          <a:fillRect/>
        </a:stretch>
      </xdr:blipFill>
      <xdr:spPr bwMode="auto">
        <a:xfrm>
          <a:off x="1492145" y="7124699"/>
          <a:ext cx="368166" cy="30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162215</xdr:colOff>
      <xdr:row>29</xdr:row>
      <xdr:rowOff>63500</xdr:rowOff>
    </xdr:from>
    <xdr:to>
      <xdr:col>2</xdr:col>
      <xdr:colOff>606320</xdr:colOff>
      <xdr:row>29</xdr:row>
      <xdr:rowOff>359570</xdr:rowOff>
    </xdr:to>
    <xdr:pic>
      <xdr:nvPicPr>
        <xdr:cNvPr id="9" name="Grafik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615" y="7531100"/>
          <a:ext cx="444105" cy="296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314325</xdr:colOff>
          <xdr:row>15</xdr:row>
          <xdr:rowOff>180975</xdr:rowOff>
        </xdr:to>
        <xdr:sp macro="" textlink="">
          <xdr:nvSpPr>
            <xdr:cNvPr id="50185" name="Option Button 9" hidden="1">
              <a:extLst>
                <a:ext uri="{63B3BB69-23CF-44E3-9099-C40C66FF867C}">
                  <a14:compatExt spid="_x0000_s50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314325</xdr:colOff>
          <xdr:row>16</xdr:row>
          <xdr:rowOff>180975</xdr:rowOff>
        </xdr:to>
        <xdr:sp macro="" textlink="">
          <xdr:nvSpPr>
            <xdr:cNvPr id="50186" name="Option Button 10" hidden="1">
              <a:extLst>
                <a:ext uri="{63B3BB69-23CF-44E3-9099-C40C66FF867C}">
                  <a14:compatExt spid="_x0000_s50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314325</xdr:colOff>
          <xdr:row>17</xdr:row>
          <xdr:rowOff>180975</xdr:rowOff>
        </xdr:to>
        <xdr:sp macro="" textlink="">
          <xdr:nvSpPr>
            <xdr:cNvPr id="50187" name="Option Button 11" hidden="1">
              <a:extLst>
                <a:ext uri="{63B3BB69-23CF-44E3-9099-C40C66FF867C}">
                  <a14:compatExt spid="_x0000_s50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314325</xdr:colOff>
          <xdr:row>18</xdr:row>
          <xdr:rowOff>180975</xdr:rowOff>
        </xdr:to>
        <xdr:sp macro="" textlink="">
          <xdr:nvSpPr>
            <xdr:cNvPr id="50188" name="Option Button 12" hidden="1">
              <a:extLst>
                <a:ext uri="{63B3BB69-23CF-44E3-9099-C40C66FF867C}">
                  <a14:compatExt spid="_x0000_s50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14</xdr:row>
          <xdr:rowOff>28575</xdr:rowOff>
        </xdr:from>
        <xdr:to>
          <xdr:col>10</xdr:col>
          <xdr:colOff>314325</xdr:colOff>
          <xdr:row>15</xdr:row>
          <xdr:rowOff>0</xdr:rowOff>
        </xdr:to>
        <xdr:sp macro="" textlink="">
          <xdr:nvSpPr>
            <xdr:cNvPr id="50189" name="Option Button 13" hidden="1">
              <a:extLst>
                <a:ext uri="{63B3BB69-23CF-44E3-9099-C40C66FF867C}">
                  <a14:compatExt spid="_x0000_s50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15</xdr:row>
          <xdr:rowOff>9525</xdr:rowOff>
        </xdr:from>
        <xdr:to>
          <xdr:col>10</xdr:col>
          <xdr:colOff>314325</xdr:colOff>
          <xdr:row>15</xdr:row>
          <xdr:rowOff>171450</xdr:rowOff>
        </xdr:to>
        <xdr:sp macro="" textlink="">
          <xdr:nvSpPr>
            <xdr:cNvPr id="50190" name="Option Button 14" hidden="1">
              <a:extLst>
                <a:ext uri="{63B3BB69-23CF-44E3-9099-C40C66FF867C}">
                  <a14:compatExt spid="_x0000_s50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16</xdr:row>
          <xdr:rowOff>9525</xdr:rowOff>
        </xdr:from>
        <xdr:to>
          <xdr:col>10</xdr:col>
          <xdr:colOff>314325</xdr:colOff>
          <xdr:row>16</xdr:row>
          <xdr:rowOff>171450</xdr:rowOff>
        </xdr:to>
        <xdr:sp macro="" textlink="">
          <xdr:nvSpPr>
            <xdr:cNvPr id="50191" name="Option Button 15" hidden="1">
              <a:extLst>
                <a:ext uri="{63B3BB69-23CF-44E3-9099-C40C66FF867C}">
                  <a14:compatExt spid="_x0000_s50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762000</xdr:colOff>
          <xdr:row>17</xdr:row>
          <xdr:rowOff>9525</xdr:rowOff>
        </xdr:from>
        <xdr:to>
          <xdr:col>10</xdr:col>
          <xdr:colOff>314325</xdr:colOff>
          <xdr:row>17</xdr:row>
          <xdr:rowOff>171450</xdr:rowOff>
        </xdr:to>
        <xdr:sp macro="" textlink="">
          <xdr:nvSpPr>
            <xdr:cNvPr id="50192" name="Option Button 16" hidden="1">
              <a:extLst>
                <a:ext uri="{63B3BB69-23CF-44E3-9099-C40C66FF867C}">
                  <a14:compatExt spid="_x0000_s50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314325</xdr:colOff>
          <xdr:row>19</xdr:row>
          <xdr:rowOff>180975</xdr:rowOff>
        </xdr:to>
        <xdr:sp macro="" textlink="">
          <xdr:nvSpPr>
            <xdr:cNvPr id="50193" name="Option Button 17" hidden="1">
              <a:extLst>
                <a:ext uri="{63B3BB69-23CF-44E3-9099-C40C66FF867C}">
                  <a14:compatExt spid="_x0000_s50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97946</xdr:colOff>
      <xdr:row>30</xdr:row>
      <xdr:rowOff>79975</xdr:rowOff>
    </xdr:from>
    <xdr:to>
      <xdr:col>2</xdr:col>
      <xdr:colOff>645534</xdr:colOff>
      <xdr:row>30</xdr:row>
      <xdr:rowOff>342361</xdr:rowOff>
    </xdr:to>
    <xdr:pic>
      <xdr:nvPicPr>
        <xdr:cNvPr id="28" name="Grafik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393346" y="7947625"/>
          <a:ext cx="547588" cy="262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198589</xdr:colOff>
      <xdr:row>31</xdr:row>
      <xdr:rowOff>58409</xdr:rowOff>
    </xdr:from>
    <xdr:to>
      <xdr:col>2</xdr:col>
      <xdr:colOff>525673</xdr:colOff>
      <xdr:row>31</xdr:row>
      <xdr:rowOff>355066</xdr:rowOff>
    </xdr:to>
    <xdr:pic>
      <xdr:nvPicPr>
        <xdr:cNvPr id="29" name="Grafik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4" t="2277" r="11964" b="4314"/>
        <a:stretch>
          <a:fillRect/>
        </a:stretch>
      </xdr:blipFill>
      <xdr:spPr bwMode="auto">
        <a:xfrm>
          <a:off x="1493989" y="8326109"/>
          <a:ext cx="327084" cy="296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126700</xdr:colOff>
      <xdr:row>32</xdr:row>
      <xdr:rowOff>58407</xdr:rowOff>
    </xdr:from>
    <xdr:to>
      <xdr:col>2</xdr:col>
      <xdr:colOff>593018</xdr:colOff>
      <xdr:row>32</xdr:row>
      <xdr:rowOff>363926</xdr:rowOff>
    </xdr:to>
    <xdr:pic>
      <xdr:nvPicPr>
        <xdr:cNvPr id="30" name="Grafi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5" t="13184" r="8890" b="3316"/>
        <a:stretch>
          <a:fillRect/>
        </a:stretch>
      </xdr:blipFill>
      <xdr:spPr bwMode="auto">
        <a:xfrm>
          <a:off x="1422100" y="8726157"/>
          <a:ext cx="466318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171768</xdr:colOff>
      <xdr:row>33</xdr:row>
      <xdr:rowOff>62002</xdr:rowOff>
    </xdr:from>
    <xdr:to>
      <xdr:col>2</xdr:col>
      <xdr:colOff>597559</xdr:colOff>
      <xdr:row>33</xdr:row>
      <xdr:rowOff>363927</xdr:rowOff>
    </xdr:to>
    <xdr:pic>
      <xdr:nvPicPr>
        <xdr:cNvPr id="31" name="Grafi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31" t="2345" r="7076" b="13266"/>
        <a:stretch>
          <a:fillRect/>
        </a:stretch>
      </xdr:blipFill>
      <xdr:spPr bwMode="auto">
        <a:xfrm>
          <a:off x="1467168" y="9129802"/>
          <a:ext cx="425791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173608</xdr:colOff>
      <xdr:row>34</xdr:row>
      <xdr:rowOff>59126</xdr:rowOff>
    </xdr:from>
    <xdr:to>
      <xdr:col>2</xdr:col>
      <xdr:colOff>583183</xdr:colOff>
      <xdr:row>34</xdr:row>
      <xdr:rowOff>363926</xdr:rowOff>
    </xdr:to>
    <xdr:pic>
      <xdr:nvPicPr>
        <xdr:cNvPr id="32" name="Grafik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2" t="8829" r="16042" b="7278"/>
        <a:stretch>
          <a:fillRect/>
        </a:stretch>
      </xdr:blipFill>
      <xdr:spPr bwMode="auto">
        <a:xfrm>
          <a:off x="1469008" y="9526976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35</xdr:row>
      <xdr:rowOff>58410</xdr:rowOff>
    </xdr:from>
    <xdr:to>
      <xdr:col>2</xdr:col>
      <xdr:colOff>611935</xdr:colOff>
      <xdr:row>35</xdr:row>
      <xdr:rowOff>367524</xdr:rowOff>
    </xdr:to>
    <xdr:pic>
      <xdr:nvPicPr>
        <xdr:cNvPr id="33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9926310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152807</xdr:colOff>
      <xdr:row>37</xdr:row>
      <xdr:rowOff>54812</xdr:rowOff>
    </xdr:from>
    <xdr:to>
      <xdr:col>2</xdr:col>
      <xdr:colOff>608342</xdr:colOff>
      <xdr:row>37</xdr:row>
      <xdr:rowOff>363925</xdr:rowOff>
    </xdr:to>
    <xdr:pic>
      <xdr:nvPicPr>
        <xdr:cNvPr id="34" name="Grafik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1" t="16963" r="14618" b="3882"/>
        <a:stretch>
          <a:fillRect/>
        </a:stretch>
      </xdr:blipFill>
      <xdr:spPr bwMode="auto">
        <a:xfrm>
          <a:off x="1448207" y="10722812"/>
          <a:ext cx="455535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38</xdr:row>
      <xdr:rowOff>67255</xdr:rowOff>
    </xdr:from>
    <xdr:to>
      <xdr:col>2</xdr:col>
      <xdr:colOff>640693</xdr:colOff>
      <xdr:row>38</xdr:row>
      <xdr:rowOff>363926</xdr:rowOff>
    </xdr:to>
    <xdr:pic>
      <xdr:nvPicPr>
        <xdr:cNvPr id="35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135305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126184</xdr:colOff>
      <xdr:row>36</xdr:row>
      <xdr:rowOff>54815</xdr:rowOff>
    </xdr:from>
    <xdr:to>
      <xdr:col>2</xdr:col>
      <xdr:colOff>611935</xdr:colOff>
      <xdr:row>36</xdr:row>
      <xdr:rowOff>363929</xdr:rowOff>
    </xdr:to>
    <xdr:pic>
      <xdr:nvPicPr>
        <xdr:cNvPr id="36" name="Grafi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3" t="5557" r="6686" b="13290"/>
        <a:stretch>
          <a:fillRect/>
        </a:stretch>
      </xdr:blipFill>
      <xdr:spPr bwMode="auto">
        <a:xfrm>
          <a:off x="1421584" y="10322765"/>
          <a:ext cx="485751" cy="30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108731</xdr:colOff>
      <xdr:row>39</xdr:row>
      <xdr:rowOff>63660</xdr:rowOff>
    </xdr:from>
    <xdr:to>
      <xdr:col>2</xdr:col>
      <xdr:colOff>640693</xdr:colOff>
      <xdr:row>39</xdr:row>
      <xdr:rowOff>360331</xdr:rowOff>
    </xdr:to>
    <xdr:pic>
      <xdr:nvPicPr>
        <xdr:cNvPr id="37" name="Grafik 1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6" t="20648" r="14883" b="23927"/>
        <a:stretch>
          <a:fillRect/>
        </a:stretch>
      </xdr:blipFill>
      <xdr:spPr bwMode="auto">
        <a:xfrm>
          <a:off x="1404131" y="11531760"/>
          <a:ext cx="531962" cy="296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177919</xdr:colOff>
      <xdr:row>41</xdr:row>
      <xdr:rowOff>59845</xdr:rowOff>
    </xdr:from>
    <xdr:to>
      <xdr:col>2</xdr:col>
      <xdr:colOff>557483</xdr:colOff>
      <xdr:row>41</xdr:row>
      <xdr:rowOff>360333</xdr:rowOff>
    </xdr:to>
    <xdr:pic>
      <xdr:nvPicPr>
        <xdr:cNvPr id="38" name="Grafik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8" t="12238" r="13945" b="8911"/>
        <a:stretch>
          <a:fillRect/>
        </a:stretch>
      </xdr:blipFill>
      <xdr:spPr bwMode="auto">
        <a:xfrm>
          <a:off x="1473319" y="12328045"/>
          <a:ext cx="379564" cy="300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177380</xdr:colOff>
      <xdr:row>40</xdr:row>
      <xdr:rowOff>69191</xdr:rowOff>
    </xdr:from>
    <xdr:to>
      <xdr:col>2</xdr:col>
      <xdr:colOff>567905</xdr:colOff>
      <xdr:row>40</xdr:row>
      <xdr:rowOff>354941</xdr:rowOff>
    </xdr:to>
    <xdr:pic>
      <xdr:nvPicPr>
        <xdr:cNvPr id="39" name="Grafik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9" t="20396" r="20442" b="5888"/>
        <a:stretch>
          <a:fillRect/>
        </a:stretch>
      </xdr:blipFill>
      <xdr:spPr bwMode="auto">
        <a:xfrm>
          <a:off x="1472780" y="11937341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42</xdr:row>
      <xdr:rowOff>62003</xdr:rowOff>
    </xdr:from>
    <xdr:to>
      <xdr:col>2</xdr:col>
      <xdr:colOff>575814</xdr:colOff>
      <xdr:row>42</xdr:row>
      <xdr:rowOff>357278</xdr:rowOff>
    </xdr:to>
    <xdr:pic>
      <xdr:nvPicPr>
        <xdr:cNvPr id="41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2730253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166239</xdr:colOff>
      <xdr:row>43</xdr:row>
      <xdr:rowOff>62002</xdr:rowOff>
    </xdr:from>
    <xdr:to>
      <xdr:col>2</xdr:col>
      <xdr:colOff>575814</xdr:colOff>
      <xdr:row>43</xdr:row>
      <xdr:rowOff>357277</xdr:rowOff>
    </xdr:to>
    <xdr:pic>
      <xdr:nvPicPr>
        <xdr:cNvPr id="43" name="Grafik 4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24" t="6953" r="13951" b="4626"/>
        <a:stretch>
          <a:fillRect/>
        </a:stretch>
      </xdr:blipFill>
      <xdr:spPr bwMode="auto">
        <a:xfrm>
          <a:off x="1461639" y="13130302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238482</xdr:colOff>
      <xdr:row>45</xdr:row>
      <xdr:rowOff>63259</xdr:rowOff>
    </xdr:from>
    <xdr:to>
      <xdr:col>2</xdr:col>
      <xdr:colOff>515657</xdr:colOff>
      <xdr:row>45</xdr:row>
      <xdr:rowOff>356738</xdr:rowOff>
    </xdr:to>
    <xdr:pic>
      <xdr:nvPicPr>
        <xdr:cNvPr id="44" name="Grafik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4" t="4420" r="20264" b="1717"/>
        <a:stretch>
          <a:fillRect/>
        </a:stretch>
      </xdr:blipFill>
      <xdr:spPr bwMode="auto">
        <a:xfrm>
          <a:off x="1533882" y="13931659"/>
          <a:ext cx="277175" cy="293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46</xdr:row>
      <xdr:rowOff>63261</xdr:rowOff>
    </xdr:from>
    <xdr:to>
      <xdr:col>2</xdr:col>
      <xdr:colOff>597556</xdr:colOff>
      <xdr:row>46</xdr:row>
      <xdr:rowOff>364689</xdr:rowOff>
    </xdr:to>
    <xdr:pic>
      <xdr:nvPicPr>
        <xdr:cNvPr id="45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331711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250706</xdr:colOff>
      <xdr:row>44</xdr:row>
      <xdr:rowOff>60533</xdr:rowOff>
    </xdr:from>
    <xdr:to>
      <xdr:col>2</xdr:col>
      <xdr:colOff>514890</xdr:colOff>
      <xdr:row>44</xdr:row>
      <xdr:rowOff>356739</xdr:rowOff>
    </xdr:to>
    <xdr:pic>
      <xdr:nvPicPr>
        <xdr:cNvPr id="46" name="Grafik 6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2" t="12195" r="25610" b="8130"/>
        <a:stretch>
          <a:fillRect/>
        </a:stretch>
      </xdr:blipFill>
      <xdr:spPr bwMode="auto">
        <a:xfrm>
          <a:off x="1546106" y="13528883"/>
          <a:ext cx="264184" cy="29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47</xdr:row>
      <xdr:rowOff>59666</xdr:rowOff>
    </xdr:from>
    <xdr:to>
      <xdr:col>2</xdr:col>
      <xdr:colOff>597556</xdr:colOff>
      <xdr:row>47</xdr:row>
      <xdr:rowOff>361094</xdr:rowOff>
    </xdr:to>
    <xdr:pic>
      <xdr:nvPicPr>
        <xdr:cNvPr id="47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4728166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48</xdr:row>
      <xdr:rowOff>63260</xdr:rowOff>
    </xdr:from>
    <xdr:to>
      <xdr:col>2</xdr:col>
      <xdr:colOff>597556</xdr:colOff>
      <xdr:row>48</xdr:row>
      <xdr:rowOff>364688</xdr:rowOff>
    </xdr:to>
    <xdr:pic>
      <xdr:nvPicPr>
        <xdr:cNvPr id="48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131810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137481</xdr:colOff>
      <xdr:row>49</xdr:row>
      <xdr:rowOff>59665</xdr:rowOff>
    </xdr:from>
    <xdr:to>
      <xdr:col>2</xdr:col>
      <xdr:colOff>597556</xdr:colOff>
      <xdr:row>49</xdr:row>
      <xdr:rowOff>361093</xdr:rowOff>
    </xdr:to>
    <xdr:pic>
      <xdr:nvPicPr>
        <xdr:cNvPr id="49" name="Grafik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2881" y="15528265"/>
          <a:ext cx="460075" cy="301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195535</xdr:colOff>
      <xdr:row>50</xdr:row>
      <xdr:rowOff>62003</xdr:rowOff>
    </xdr:from>
    <xdr:to>
      <xdr:col>2</xdr:col>
      <xdr:colOff>588516</xdr:colOff>
      <xdr:row>50</xdr:row>
      <xdr:rowOff>356739</xdr:rowOff>
    </xdr:to>
    <xdr:pic>
      <xdr:nvPicPr>
        <xdr:cNvPr id="50" name="Grafik 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35" y="15930653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208829</xdr:colOff>
      <xdr:row>52</xdr:row>
      <xdr:rowOff>63261</xdr:rowOff>
    </xdr:from>
    <xdr:to>
      <xdr:col>2</xdr:col>
      <xdr:colOff>554074</xdr:colOff>
      <xdr:row>52</xdr:row>
      <xdr:rowOff>360332</xdr:rowOff>
    </xdr:to>
    <xdr:pic>
      <xdr:nvPicPr>
        <xdr:cNvPr id="51" name="Grafik 180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45" t="20753" r="25102" b="13525"/>
        <a:stretch>
          <a:fillRect/>
        </a:stretch>
      </xdr:blipFill>
      <xdr:spPr bwMode="auto">
        <a:xfrm>
          <a:off x="1504229" y="16732011"/>
          <a:ext cx="345245" cy="297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149523</xdr:colOff>
      <xdr:row>54</xdr:row>
      <xdr:rowOff>57330</xdr:rowOff>
    </xdr:from>
    <xdr:to>
      <xdr:col>2</xdr:col>
      <xdr:colOff>569077</xdr:colOff>
      <xdr:row>54</xdr:row>
      <xdr:rowOff>363927</xdr:rowOff>
    </xdr:to>
    <xdr:pic>
      <xdr:nvPicPr>
        <xdr:cNvPr id="52" name="Grafik 180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126"/>
        <a:stretch>
          <a:fillRect/>
        </a:stretch>
      </xdr:blipFill>
      <xdr:spPr bwMode="auto">
        <a:xfrm>
          <a:off x="1444923" y="17526180"/>
          <a:ext cx="419554" cy="30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128496</xdr:colOff>
      <xdr:row>55</xdr:row>
      <xdr:rowOff>66855</xdr:rowOff>
    </xdr:from>
    <xdr:to>
      <xdr:col>2</xdr:col>
      <xdr:colOff>629917</xdr:colOff>
      <xdr:row>55</xdr:row>
      <xdr:rowOff>356739</xdr:rowOff>
    </xdr:to>
    <xdr:pic>
      <xdr:nvPicPr>
        <xdr:cNvPr id="53" name="Grafik 8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2" t="11102" r="4005" b="9978"/>
        <a:stretch>
          <a:fillRect/>
        </a:stretch>
      </xdr:blipFill>
      <xdr:spPr bwMode="auto">
        <a:xfrm>
          <a:off x="1423896" y="17935755"/>
          <a:ext cx="501421" cy="289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220153</xdr:colOff>
      <xdr:row>51</xdr:row>
      <xdr:rowOff>59664</xdr:rowOff>
    </xdr:from>
    <xdr:to>
      <xdr:col>2</xdr:col>
      <xdr:colOff>524416</xdr:colOff>
      <xdr:row>51</xdr:row>
      <xdr:rowOff>363927</xdr:rowOff>
    </xdr:to>
    <xdr:pic>
      <xdr:nvPicPr>
        <xdr:cNvPr id="54" name="Grafik 3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33" r="14037" b="12170"/>
        <a:stretch>
          <a:fillRect/>
        </a:stretch>
      </xdr:blipFill>
      <xdr:spPr bwMode="auto">
        <a:xfrm>
          <a:off x="1515553" y="16328364"/>
          <a:ext cx="304263" cy="304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56</xdr:row>
      <xdr:rowOff>58408</xdr:rowOff>
    </xdr:from>
    <xdr:to>
      <xdr:col>2</xdr:col>
      <xdr:colOff>477051</xdr:colOff>
      <xdr:row>56</xdr:row>
      <xdr:rowOff>360332</xdr:rowOff>
    </xdr:to>
    <xdr:pic>
      <xdr:nvPicPr>
        <xdr:cNvPr id="55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327358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270472</xdr:colOff>
      <xdr:row>57</xdr:row>
      <xdr:rowOff>62003</xdr:rowOff>
    </xdr:from>
    <xdr:to>
      <xdr:col>2</xdr:col>
      <xdr:colOff>477051</xdr:colOff>
      <xdr:row>57</xdr:row>
      <xdr:rowOff>363927</xdr:rowOff>
    </xdr:to>
    <xdr:pic>
      <xdr:nvPicPr>
        <xdr:cNvPr id="56" name="Grafik 18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65872" y="18731003"/>
          <a:ext cx="206579" cy="301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132990</xdr:colOff>
      <xdr:row>58</xdr:row>
      <xdr:rowOff>62003</xdr:rowOff>
    </xdr:from>
    <xdr:to>
      <xdr:col>2</xdr:col>
      <xdr:colOff>600642</xdr:colOff>
      <xdr:row>58</xdr:row>
      <xdr:rowOff>360333</xdr:rowOff>
    </xdr:to>
    <xdr:pic>
      <xdr:nvPicPr>
        <xdr:cNvPr id="57" name="Grafik 180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7" t="13477" r="10893" b="7732"/>
        <a:stretch>
          <a:fillRect/>
        </a:stretch>
      </xdr:blipFill>
      <xdr:spPr bwMode="auto">
        <a:xfrm>
          <a:off x="1428390" y="19131053"/>
          <a:ext cx="467652" cy="298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187986</xdr:colOff>
      <xdr:row>61</xdr:row>
      <xdr:rowOff>65597</xdr:rowOff>
    </xdr:from>
    <xdr:to>
      <xdr:col>2</xdr:col>
      <xdr:colOff>568040</xdr:colOff>
      <xdr:row>61</xdr:row>
      <xdr:rowOff>360333</xdr:rowOff>
    </xdr:to>
    <xdr:pic>
      <xdr:nvPicPr>
        <xdr:cNvPr id="58" name="Grafik 18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05" t="15685" r="19672" b="16676"/>
        <a:stretch>
          <a:fillRect/>
        </a:stretch>
      </xdr:blipFill>
      <xdr:spPr bwMode="auto">
        <a:xfrm>
          <a:off x="1483386" y="20334797"/>
          <a:ext cx="380054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159055</xdr:colOff>
      <xdr:row>62</xdr:row>
      <xdr:rowOff>57150</xdr:rowOff>
    </xdr:from>
    <xdr:to>
      <xdr:col>2</xdr:col>
      <xdr:colOff>619221</xdr:colOff>
      <xdr:row>62</xdr:row>
      <xdr:rowOff>363927</xdr:rowOff>
    </xdr:to>
    <xdr:pic>
      <xdr:nvPicPr>
        <xdr:cNvPr id="59" name="Grafik 18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69" t="17393" r="1051" b="7680"/>
        <a:stretch>
          <a:fillRect/>
        </a:stretch>
      </xdr:blipFill>
      <xdr:spPr bwMode="auto">
        <a:xfrm>
          <a:off x="1454455" y="20726400"/>
          <a:ext cx="460166" cy="30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135508</xdr:colOff>
      <xdr:row>63</xdr:row>
      <xdr:rowOff>63079</xdr:rowOff>
    </xdr:from>
    <xdr:to>
      <xdr:col>2</xdr:col>
      <xdr:colOff>607142</xdr:colOff>
      <xdr:row>63</xdr:row>
      <xdr:rowOff>356738</xdr:rowOff>
    </xdr:to>
    <xdr:pic>
      <xdr:nvPicPr>
        <xdr:cNvPr id="60" name="Grafik 180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3" t="22664" r="17278" b="20187"/>
        <a:stretch>
          <a:fillRect/>
        </a:stretch>
      </xdr:blipFill>
      <xdr:spPr bwMode="auto">
        <a:xfrm>
          <a:off x="1430908" y="21132379"/>
          <a:ext cx="471634" cy="293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236689</xdr:colOff>
      <xdr:row>64</xdr:row>
      <xdr:rowOff>59668</xdr:rowOff>
    </xdr:from>
    <xdr:to>
      <xdr:col>2</xdr:col>
      <xdr:colOff>496724</xdr:colOff>
      <xdr:row>64</xdr:row>
      <xdr:rowOff>360334</xdr:rowOff>
    </xdr:to>
    <xdr:pic>
      <xdr:nvPicPr>
        <xdr:cNvPr id="61" name="Grafik 180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08" t="13861" r="31795" b="14694"/>
        <a:stretch>
          <a:fillRect/>
        </a:stretch>
      </xdr:blipFill>
      <xdr:spPr bwMode="auto">
        <a:xfrm>
          <a:off x="1532089" y="21529018"/>
          <a:ext cx="260035" cy="300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171630</xdr:colOff>
      <xdr:row>65</xdr:row>
      <xdr:rowOff>59486</xdr:rowOff>
    </xdr:from>
    <xdr:to>
      <xdr:col>2</xdr:col>
      <xdr:colOff>592475</xdr:colOff>
      <xdr:row>65</xdr:row>
      <xdr:rowOff>363927</xdr:rowOff>
    </xdr:to>
    <xdr:pic>
      <xdr:nvPicPr>
        <xdr:cNvPr id="62" name="Grafik 181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44" r="5516" b="15793"/>
        <a:stretch>
          <a:fillRect/>
        </a:stretch>
      </xdr:blipFill>
      <xdr:spPr bwMode="auto">
        <a:xfrm>
          <a:off x="1467030" y="21928886"/>
          <a:ext cx="420845" cy="30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193915</xdr:colOff>
      <xdr:row>59</xdr:row>
      <xdr:rowOff>63262</xdr:rowOff>
    </xdr:from>
    <xdr:to>
      <xdr:col>2</xdr:col>
      <xdr:colOff>564622</xdr:colOff>
      <xdr:row>59</xdr:row>
      <xdr:rowOff>356738</xdr:rowOff>
    </xdr:to>
    <xdr:pic>
      <xdr:nvPicPr>
        <xdr:cNvPr id="63" name="Grafik 180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99" t="9016" r="15376" b="9836"/>
        <a:stretch>
          <a:fillRect/>
        </a:stretch>
      </xdr:blipFill>
      <xdr:spPr bwMode="auto">
        <a:xfrm>
          <a:off x="1489315" y="19532362"/>
          <a:ext cx="370707" cy="29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253584</xdr:colOff>
      <xdr:row>66</xdr:row>
      <xdr:rowOff>58408</xdr:rowOff>
    </xdr:from>
    <xdr:to>
      <xdr:col>2</xdr:col>
      <xdr:colOff>530349</xdr:colOff>
      <xdr:row>66</xdr:row>
      <xdr:rowOff>360333</xdr:rowOff>
    </xdr:to>
    <xdr:pic>
      <xdr:nvPicPr>
        <xdr:cNvPr id="64" name="Grafik 181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84" t="16817" r="33038" b="16847"/>
        <a:stretch>
          <a:fillRect/>
        </a:stretch>
      </xdr:blipFill>
      <xdr:spPr bwMode="auto">
        <a:xfrm>
          <a:off x="1548984" y="22327858"/>
          <a:ext cx="276765" cy="30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212246</xdr:colOff>
      <xdr:row>67</xdr:row>
      <xdr:rowOff>62001</xdr:rowOff>
    </xdr:from>
    <xdr:to>
      <xdr:col>2</xdr:col>
      <xdr:colOff>549693</xdr:colOff>
      <xdr:row>67</xdr:row>
      <xdr:rowOff>363927</xdr:rowOff>
    </xdr:to>
    <xdr:pic>
      <xdr:nvPicPr>
        <xdr:cNvPr id="65" name="Grafik 181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40" t="8603" r="18645" b="5231"/>
        <a:stretch>
          <a:fillRect/>
        </a:stretch>
      </xdr:blipFill>
      <xdr:spPr bwMode="auto">
        <a:xfrm>
          <a:off x="1507646" y="22731501"/>
          <a:ext cx="337447" cy="301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229319</xdr:colOff>
      <xdr:row>68</xdr:row>
      <xdr:rowOff>62002</xdr:rowOff>
    </xdr:from>
    <xdr:to>
      <xdr:col>2</xdr:col>
      <xdr:colOff>503461</xdr:colOff>
      <xdr:row>68</xdr:row>
      <xdr:rowOff>360333</xdr:rowOff>
    </xdr:to>
    <xdr:pic>
      <xdr:nvPicPr>
        <xdr:cNvPr id="66" name="Grafik 18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19" t="12331" r="36412" b="22742"/>
        <a:stretch>
          <a:fillRect/>
        </a:stretch>
      </xdr:blipFill>
      <xdr:spPr bwMode="auto">
        <a:xfrm>
          <a:off x="1524719" y="23131552"/>
          <a:ext cx="274142" cy="298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69</xdr:row>
      <xdr:rowOff>56970</xdr:rowOff>
    </xdr:from>
    <xdr:to>
      <xdr:col>2</xdr:col>
      <xdr:colOff>564635</xdr:colOff>
      <xdr:row>69</xdr:row>
      <xdr:rowOff>360332</xdr:rowOff>
    </xdr:to>
    <xdr:pic>
      <xdr:nvPicPr>
        <xdr:cNvPr id="67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5265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70</xdr:row>
      <xdr:rowOff>60564</xdr:rowOff>
    </xdr:from>
    <xdr:to>
      <xdr:col>2</xdr:col>
      <xdr:colOff>564635</xdr:colOff>
      <xdr:row>70</xdr:row>
      <xdr:rowOff>363926</xdr:rowOff>
    </xdr:to>
    <xdr:pic>
      <xdr:nvPicPr>
        <xdr:cNvPr id="68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3930214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71</xdr:row>
      <xdr:rowOff>56970</xdr:rowOff>
    </xdr:from>
    <xdr:to>
      <xdr:col>2</xdr:col>
      <xdr:colOff>564635</xdr:colOff>
      <xdr:row>71</xdr:row>
      <xdr:rowOff>360332</xdr:rowOff>
    </xdr:to>
    <xdr:pic>
      <xdr:nvPicPr>
        <xdr:cNvPr id="69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32667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72</xdr:row>
      <xdr:rowOff>60563</xdr:rowOff>
    </xdr:from>
    <xdr:to>
      <xdr:col>2</xdr:col>
      <xdr:colOff>564635</xdr:colOff>
      <xdr:row>72</xdr:row>
      <xdr:rowOff>363925</xdr:rowOff>
    </xdr:to>
    <xdr:pic>
      <xdr:nvPicPr>
        <xdr:cNvPr id="70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473031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193017</xdr:colOff>
      <xdr:row>73</xdr:row>
      <xdr:rowOff>60563</xdr:rowOff>
    </xdr:from>
    <xdr:to>
      <xdr:col>2</xdr:col>
      <xdr:colOff>564635</xdr:colOff>
      <xdr:row>73</xdr:row>
      <xdr:rowOff>363925</xdr:rowOff>
    </xdr:to>
    <xdr:pic>
      <xdr:nvPicPr>
        <xdr:cNvPr id="71" name="Grafik 181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8417" y="25130363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137484</xdr:colOff>
      <xdr:row>75</xdr:row>
      <xdr:rowOff>58408</xdr:rowOff>
    </xdr:from>
    <xdr:to>
      <xdr:col>2</xdr:col>
      <xdr:colOff>594684</xdr:colOff>
      <xdr:row>75</xdr:row>
      <xdr:rowOff>363208</xdr:rowOff>
    </xdr:to>
    <xdr:pic>
      <xdr:nvPicPr>
        <xdr:cNvPr id="72" name="Grafik 181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884" y="25928308"/>
          <a:ext cx="457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143235</xdr:colOff>
      <xdr:row>79</xdr:row>
      <xdr:rowOff>63260</xdr:rowOff>
    </xdr:from>
    <xdr:to>
      <xdr:col>2</xdr:col>
      <xdr:colOff>588843</xdr:colOff>
      <xdr:row>79</xdr:row>
      <xdr:rowOff>360332</xdr:rowOff>
    </xdr:to>
    <xdr:pic>
      <xdr:nvPicPr>
        <xdr:cNvPr id="73" name="Grafik 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635" y="27533360"/>
          <a:ext cx="445608" cy="29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273529</xdr:colOff>
      <xdr:row>74</xdr:row>
      <xdr:rowOff>54815</xdr:rowOff>
    </xdr:from>
    <xdr:to>
      <xdr:col>2</xdr:col>
      <xdr:colOff>450164</xdr:colOff>
      <xdr:row>74</xdr:row>
      <xdr:rowOff>363927</xdr:rowOff>
    </xdr:to>
    <xdr:pic>
      <xdr:nvPicPr>
        <xdr:cNvPr id="74" name="Grafik 34"/>
        <xdr:cNvPicPr>
          <a:picLocks noChangeAspect="1"/>
        </xdr:cNvPicPr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55460" b="20000"/>
        <a:stretch/>
      </xdr:blipFill>
      <xdr:spPr bwMode="auto">
        <a:xfrm>
          <a:off x="1568929" y="25524665"/>
          <a:ext cx="176635" cy="309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178820</xdr:colOff>
      <xdr:row>77</xdr:row>
      <xdr:rowOff>126699</xdr:rowOff>
    </xdr:from>
    <xdr:to>
      <xdr:col>2</xdr:col>
      <xdr:colOff>622332</xdr:colOff>
      <xdr:row>77</xdr:row>
      <xdr:rowOff>285569</xdr:rowOff>
    </xdr:to>
    <xdr:grpSp>
      <xdr:nvGrpSpPr>
        <xdr:cNvPr id="75" name="Gruppieren 129"/>
        <xdr:cNvGrpSpPr>
          <a:grpSpLocks/>
        </xdr:cNvGrpSpPr>
      </xdr:nvGrpSpPr>
      <xdr:grpSpPr bwMode="auto">
        <a:xfrm>
          <a:off x="1474220" y="26796699"/>
          <a:ext cx="443512" cy="158870"/>
          <a:chOff x="1849755" y="26461853"/>
          <a:chExt cx="741045" cy="307205"/>
        </a:xfrm>
      </xdr:grpSpPr>
      <xdr:pic>
        <xdr:nvPicPr>
          <xdr:cNvPr id="76" name="Grafik 13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7" name="Rechteck 131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279458</xdr:colOff>
      <xdr:row>78</xdr:row>
      <xdr:rowOff>57331</xdr:rowOff>
    </xdr:from>
    <xdr:to>
      <xdr:col>2</xdr:col>
      <xdr:colOff>471757</xdr:colOff>
      <xdr:row>78</xdr:row>
      <xdr:rowOff>363261</xdr:rowOff>
    </xdr:to>
    <xdr:pic>
      <xdr:nvPicPr>
        <xdr:cNvPr id="78" name="Grafik 13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37" t="3867" r="26851" b="9618"/>
        <a:stretch>
          <a:fillRect/>
        </a:stretch>
      </xdr:blipFill>
      <xdr:spPr bwMode="auto">
        <a:xfrm>
          <a:off x="1574858" y="27127381"/>
          <a:ext cx="192299" cy="30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211707</xdr:colOff>
      <xdr:row>76</xdr:row>
      <xdr:rowOff>122926</xdr:rowOff>
    </xdr:from>
    <xdr:to>
      <xdr:col>2</xdr:col>
      <xdr:colOff>554607</xdr:colOff>
      <xdr:row>76</xdr:row>
      <xdr:rowOff>303901</xdr:rowOff>
    </xdr:to>
    <xdr:pic>
      <xdr:nvPicPr>
        <xdr:cNvPr id="79" name="Grafik 5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50" t="29231" r="22266" b="35603"/>
        <a:stretch>
          <a:fillRect/>
        </a:stretch>
      </xdr:blipFill>
      <xdr:spPr bwMode="auto">
        <a:xfrm>
          <a:off x="1507107" y="26392876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352425</xdr:colOff>
          <xdr:row>12</xdr:row>
          <xdr:rowOff>0</xdr:rowOff>
        </xdr:to>
        <xdr:sp macro="" textlink="">
          <xdr:nvSpPr>
            <xdr:cNvPr id="50194" name="Group Box 18" hidden="1">
              <a:extLst>
                <a:ext uri="{63B3BB69-23CF-44E3-9099-C40C66FF867C}">
                  <a14:compatExt spid="_x0000_s50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50201" name="Option Button 25" hidden="1">
              <a:extLst>
                <a:ext uri="{63B3BB69-23CF-44E3-9099-C40C66FF867C}">
                  <a14:compatExt spid="_x0000_s50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140553</xdr:colOff>
      <xdr:row>80</xdr:row>
      <xdr:rowOff>61563</xdr:rowOff>
    </xdr:from>
    <xdr:to>
      <xdr:col>2</xdr:col>
      <xdr:colOff>602047</xdr:colOff>
      <xdr:row>80</xdr:row>
      <xdr:rowOff>366745</xdr:rowOff>
    </xdr:to>
    <xdr:pic>
      <xdr:nvPicPr>
        <xdr:cNvPr id="89" name="Grafik 1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3" t="15510" r="13074" b="10428"/>
        <a:stretch/>
      </xdr:blipFill>
      <xdr:spPr bwMode="auto">
        <a:xfrm>
          <a:off x="1435953" y="27931713"/>
          <a:ext cx="461494" cy="305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14</xdr:row>
          <xdr:rowOff>9525</xdr:rowOff>
        </xdr:from>
        <xdr:to>
          <xdr:col>12</xdr:col>
          <xdr:colOff>114300</xdr:colOff>
          <xdr:row>14</xdr:row>
          <xdr:rowOff>57150</xdr:rowOff>
        </xdr:to>
        <xdr:sp macro="" textlink="">
          <xdr:nvSpPr>
            <xdr:cNvPr id="50203" name="Option Button 27" hidden="1">
              <a:extLst>
                <a:ext uri="{63B3BB69-23CF-44E3-9099-C40C66FF867C}">
                  <a14:compatExt spid="_x0000_s50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183672</xdr:colOff>
      <xdr:row>25</xdr:row>
      <xdr:rowOff>62002</xdr:rowOff>
    </xdr:from>
    <xdr:to>
      <xdr:col>2</xdr:col>
      <xdr:colOff>568804</xdr:colOff>
      <xdr:row>25</xdr:row>
      <xdr:rowOff>363781</xdr:rowOff>
    </xdr:to>
    <xdr:pic>
      <xdr:nvPicPr>
        <xdr:cNvPr id="93" name="Grafik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16" t="8041" r="15440" b="7491"/>
        <a:stretch>
          <a:fillRect/>
        </a:stretch>
      </xdr:blipFill>
      <xdr:spPr bwMode="auto">
        <a:xfrm>
          <a:off x="1479072" y="5929402"/>
          <a:ext cx="385132" cy="30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190500</xdr:colOff>
          <xdr:row>53</xdr:row>
          <xdr:rowOff>57150</xdr:rowOff>
        </xdr:from>
        <xdr:to>
          <xdr:col>2</xdr:col>
          <xdr:colOff>600075</xdr:colOff>
          <xdr:row>53</xdr:row>
          <xdr:rowOff>361950</xdr:rowOff>
        </xdr:to>
        <xdr:sp macro="" textlink="">
          <xdr:nvSpPr>
            <xdr:cNvPr id="50204" name="Object 28" hidden="1">
              <a:extLst>
                <a:ext uri="{63B3BB69-23CF-44E3-9099-C40C66FF867C}">
                  <a14:compatExt spid="_x0000_s50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96612</xdr:colOff>
      <xdr:row>60</xdr:row>
      <xdr:rowOff>63955</xdr:rowOff>
    </xdr:from>
    <xdr:to>
      <xdr:col>2</xdr:col>
      <xdr:colOff>651783</xdr:colOff>
      <xdr:row>60</xdr:row>
      <xdr:rowOff>362893</xdr:rowOff>
    </xdr:to>
    <xdr:pic>
      <xdr:nvPicPr>
        <xdr:cNvPr id="95" name="Grafik 180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9" t="15874" r="5510" b="17451"/>
        <a:stretch>
          <a:fillRect/>
        </a:stretch>
      </xdr:blipFill>
      <xdr:spPr bwMode="auto">
        <a:xfrm>
          <a:off x="1392012" y="19933105"/>
          <a:ext cx="555171" cy="298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63954</xdr:colOff>
      <xdr:row>23</xdr:row>
      <xdr:rowOff>69397</xdr:rowOff>
    </xdr:from>
    <xdr:to>
      <xdr:col>2</xdr:col>
      <xdr:colOff>673053</xdr:colOff>
      <xdr:row>23</xdr:row>
      <xdr:rowOff>355147</xdr:rowOff>
    </xdr:to>
    <xdr:pic>
      <xdr:nvPicPr>
        <xdr:cNvPr id="96" name="Grafik 10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0" t="17046" r="3316" b="18465"/>
        <a:stretch>
          <a:fillRect/>
        </a:stretch>
      </xdr:blipFill>
      <xdr:spPr bwMode="auto">
        <a:xfrm>
          <a:off x="1359354" y="5136697"/>
          <a:ext cx="60909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156485</xdr:colOff>
      <xdr:row>24</xdr:row>
      <xdr:rowOff>74839</xdr:rowOff>
    </xdr:from>
    <xdr:to>
      <xdr:col>2</xdr:col>
      <xdr:colOff>574719</xdr:colOff>
      <xdr:row>24</xdr:row>
      <xdr:rowOff>356507</xdr:rowOff>
    </xdr:to>
    <xdr:pic>
      <xdr:nvPicPr>
        <xdr:cNvPr id="97" name="Grafik 102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5" t="8551" r="13507" b="12268"/>
        <a:stretch>
          <a:fillRect/>
        </a:stretch>
      </xdr:blipFill>
      <xdr:spPr bwMode="auto">
        <a:xfrm>
          <a:off x="1451885" y="5542189"/>
          <a:ext cx="418234" cy="281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30361</xdr:colOff>
      <xdr:row>0</xdr:row>
      <xdr:rowOff>276225</xdr:rowOff>
    </xdr:from>
    <xdr:to>
      <xdr:col>5</xdr:col>
      <xdr:colOff>245864</xdr:colOff>
      <xdr:row>5</xdr:row>
      <xdr:rowOff>142875</xdr:rowOff>
    </xdr:to>
    <xdr:pic>
      <xdr:nvPicPr>
        <xdr:cNvPr id="85" name="Grafik 99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4" b="19524"/>
        <a:stretch/>
      </xdr:blipFill>
      <xdr:spPr bwMode="auto">
        <a:xfrm>
          <a:off x="1325761" y="276225"/>
          <a:ext cx="2625328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314325</xdr:colOff>
          <xdr:row>14</xdr:row>
          <xdr:rowOff>180975</xdr:rowOff>
        </xdr:to>
        <xdr:sp macro="" textlink="">
          <xdr:nvSpPr>
            <xdr:cNvPr id="50206" name="Option Button 30" hidden="1">
              <a:extLst>
                <a:ext uri="{63B3BB69-23CF-44E3-9099-C40C66FF867C}">
                  <a14:compatExt spid="_x0000_s50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50207" name="Option Button 31" hidden="1">
              <a:extLst>
                <a:ext uri="{63B3BB69-23CF-44E3-9099-C40C66FF867C}">
                  <a14:compatExt spid="_x0000_s50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50208" name="Option Button 32" hidden="1">
              <a:extLst>
                <a:ext uri="{63B3BB69-23CF-44E3-9099-C40C66FF867C}">
                  <a14:compatExt spid="_x0000_s50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361950</xdr:colOff>
          <xdr:row>8</xdr:row>
          <xdr:rowOff>0</xdr:rowOff>
        </xdr:to>
        <xdr:sp macro="" textlink="">
          <xdr:nvSpPr>
            <xdr:cNvPr id="57345" name="Group Box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361950</xdr:colOff>
          <xdr:row>21</xdr:row>
          <xdr:rowOff>0</xdr:rowOff>
        </xdr:to>
        <xdr:sp macro="" textlink="">
          <xdr:nvSpPr>
            <xdr:cNvPr id="57347" name="Group Box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361950</xdr:colOff>
          <xdr:row>12</xdr:row>
          <xdr:rowOff>0</xdr:rowOff>
        </xdr:to>
        <xdr:sp macro="" textlink="">
          <xdr:nvSpPr>
            <xdr:cNvPr id="57353" name="Group Box 9" hidden="1">
              <a:extLst>
                <a:ext uri="{63B3BB69-23CF-44E3-9099-C40C66FF867C}">
                  <a14:compatExt spid="_x0000_s57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7</xdr:row>
          <xdr:rowOff>9525</xdr:rowOff>
        </xdr:from>
        <xdr:to>
          <xdr:col>8</xdr:col>
          <xdr:colOff>457200</xdr:colOff>
          <xdr:row>7</xdr:row>
          <xdr:rowOff>180975</xdr:rowOff>
        </xdr:to>
        <xdr:sp macro="" textlink="">
          <xdr:nvSpPr>
            <xdr:cNvPr id="57358" name="Option Button 14" hidden="1">
              <a:extLst>
                <a:ext uri="{63B3BB69-23CF-44E3-9099-C40C66FF867C}">
                  <a14:compatExt spid="_x0000_s57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57359" name="Option Button 15" hidden="1">
              <a:extLst>
                <a:ext uri="{63B3BB69-23CF-44E3-9099-C40C66FF867C}">
                  <a14:compatExt spid="_x0000_s5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171450</xdr:colOff>
          <xdr:row>15</xdr:row>
          <xdr:rowOff>0</xdr:rowOff>
        </xdr:to>
        <xdr:sp macro="" textlink="">
          <xdr:nvSpPr>
            <xdr:cNvPr id="57361" name="Option Button 17" hidden="1">
              <a:extLst>
                <a:ext uri="{63B3BB69-23CF-44E3-9099-C40C66FF867C}">
                  <a14:compatExt spid="_x0000_s57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171450</xdr:colOff>
          <xdr:row>16</xdr:row>
          <xdr:rowOff>0</xdr:rowOff>
        </xdr:to>
        <xdr:sp macro="" textlink="">
          <xdr:nvSpPr>
            <xdr:cNvPr id="57362" name="Option Button 18" hidden="1">
              <a:extLst>
                <a:ext uri="{63B3BB69-23CF-44E3-9099-C40C66FF867C}">
                  <a14:compatExt spid="_x0000_s57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171450</xdr:colOff>
          <xdr:row>17</xdr:row>
          <xdr:rowOff>0</xdr:rowOff>
        </xdr:to>
        <xdr:sp macro="" textlink="">
          <xdr:nvSpPr>
            <xdr:cNvPr id="57363" name="Option Button 19" hidden="1">
              <a:extLst>
                <a:ext uri="{63B3BB69-23CF-44E3-9099-C40C66FF867C}">
                  <a14:compatExt spid="_x0000_s57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171450</xdr:colOff>
          <xdr:row>18</xdr:row>
          <xdr:rowOff>0</xdr:rowOff>
        </xdr:to>
        <xdr:sp macro="" textlink="">
          <xdr:nvSpPr>
            <xdr:cNvPr id="57364" name="Option Button 20" hidden="1">
              <a:extLst>
                <a:ext uri="{63B3BB69-23CF-44E3-9099-C40C66FF867C}">
                  <a14:compatExt spid="_x0000_s57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171450</xdr:colOff>
          <xdr:row>19</xdr:row>
          <xdr:rowOff>0</xdr:rowOff>
        </xdr:to>
        <xdr:sp macro="" textlink="">
          <xdr:nvSpPr>
            <xdr:cNvPr id="57365" name="Option Button 21" hidden="1">
              <a:extLst>
                <a:ext uri="{63B3BB69-23CF-44E3-9099-C40C66FF867C}">
                  <a14:compatExt spid="_x0000_s57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171450</xdr:colOff>
          <xdr:row>20</xdr:row>
          <xdr:rowOff>0</xdr:rowOff>
        </xdr:to>
        <xdr:sp macro="" textlink="">
          <xdr:nvSpPr>
            <xdr:cNvPr id="57366" name="Option Button 22" hidden="1">
              <a:extLst>
                <a:ext uri="{63B3BB69-23CF-44E3-9099-C40C66FF867C}">
                  <a14:compatExt spid="_x0000_s5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20</xdr:row>
          <xdr:rowOff>19050</xdr:rowOff>
        </xdr:from>
        <xdr:to>
          <xdr:col>7</xdr:col>
          <xdr:colOff>171450</xdr:colOff>
          <xdr:row>21</xdr:row>
          <xdr:rowOff>0</xdr:rowOff>
        </xdr:to>
        <xdr:sp macro="" textlink="">
          <xdr:nvSpPr>
            <xdr:cNvPr id="57367" name="Option Button 23" hidden="1">
              <a:extLst>
                <a:ext uri="{63B3BB69-23CF-44E3-9099-C40C66FF867C}">
                  <a14:compatExt spid="_x0000_s5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14</xdr:row>
          <xdr:rowOff>19050</xdr:rowOff>
        </xdr:from>
        <xdr:to>
          <xdr:col>8</xdr:col>
          <xdr:colOff>809625</xdr:colOff>
          <xdr:row>15</xdr:row>
          <xdr:rowOff>0</xdr:rowOff>
        </xdr:to>
        <xdr:sp macro="" textlink="">
          <xdr:nvSpPr>
            <xdr:cNvPr id="57368" name="Option Button 24" hidden="1">
              <a:extLst>
                <a:ext uri="{63B3BB69-23CF-44E3-9099-C40C66FF867C}">
                  <a14:compatExt spid="_x0000_s5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15</xdr:row>
          <xdr:rowOff>19050</xdr:rowOff>
        </xdr:from>
        <xdr:to>
          <xdr:col>8</xdr:col>
          <xdr:colOff>809625</xdr:colOff>
          <xdr:row>16</xdr:row>
          <xdr:rowOff>0</xdr:rowOff>
        </xdr:to>
        <xdr:sp macro="" textlink="">
          <xdr:nvSpPr>
            <xdr:cNvPr id="57369" name="Option Button 25" hidden="1">
              <a:extLst>
                <a:ext uri="{63B3BB69-23CF-44E3-9099-C40C66FF867C}">
                  <a14:compatExt spid="_x0000_s57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16</xdr:row>
          <xdr:rowOff>19050</xdr:rowOff>
        </xdr:from>
        <xdr:to>
          <xdr:col>8</xdr:col>
          <xdr:colOff>809625</xdr:colOff>
          <xdr:row>17</xdr:row>
          <xdr:rowOff>0</xdr:rowOff>
        </xdr:to>
        <xdr:sp macro="" textlink="">
          <xdr:nvSpPr>
            <xdr:cNvPr id="57370" name="Option Button 26" hidden="1">
              <a:extLst>
                <a:ext uri="{63B3BB69-23CF-44E3-9099-C40C66FF867C}">
                  <a14:compatExt spid="_x0000_s57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17</xdr:row>
          <xdr:rowOff>19050</xdr:rowOff>
        </xdr:from>
        <xdr:to>
          <xdr:col>8</xdr:col>
          <xdr:colOff>809625</xdr:colOff>
          <xdr:row>18</xdr:row>
          <xdr:rowOff>0</xdr:rowOff>
        </xdr:to>
        <xdr:sp macro="" textlink="">
          <xdr:nvSpPr>
            <xdr:cNvPr id="57371" name="Option Button 27" hidden="1">
              <a:extLst>
                <a:ext uri="{63B3BB69-23CF-44E3-9099-C40C66FF867C}">
                  <a14:compatExt spid="_x0000_s57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18</xdr:row>
          <xdr:rowOff>19050</xdr:rowOff>
        </xdr:from>
        <xdr:to>
          <xdr:col>8</xdr:col>
          <xdr:colOff>809625</xdr:colOff>
          <xdr:row>19</xdr:row>
          <xdr:rowOff>0</xdr:rowOff>
        </xdr:to>
        <xdr:sp macro="" textlink="">
          <xdr:nvSpPr>
            <xdr:cNvPr id="57372" name="Option Button 28" hidden="1">
              <a:extLst>
                <a:ext uri="{63B3BB69-23CF-44E3-9099-C40C66FF867C}">
                  <a14:compatExt spid="_x0000_s57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19</xdr:row>
          <xdr:rowOff>19050</xdr:rowOff>
        </xdr:from>
        <xdr:to>
          <xdr:col>8</xdr:col>
          <xdr:colOff>809625</xdr:colOff>
          <xdr:row>20</xdr:row>
          <xdr:rowOff>0</xdr:rowOff>
        </xdr:to>
        <xdr:sp macro="" textlink="">
          <xdr:nvSpPr>
            <xdr:cNvPr id="57373" name="Option Button 29" hidden="1">
              <a:extLst>
                <a:ext uri="{63B3BB69-23CF-44E3-9099-C40C66FF867C}">
                  <a14:compatExt spid="_x0000_s57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20</xdr:row>
          <xdr:rowOff>19050</xdr:rowOff>
        </xdr:from>
        <xdr:to>
          <xdr:col>8</xdr:col>
          <xdr:colOff>809625</xdr:colOff>
          <xdr:row>21</xdr:row>
          <xdr:rowOff>0</xdr:rowOff>
        </xdr:to>
        <xdr:sp macro="" textlink="">
          <xdr:nvSpPr>
            <xdr:cNvPr id="57374" name="Option Button 30" hidden="1">
              <a:extLst>
                <a:ext uri="{63B3BB69-23CF-44E3-9099-C40C66FF867C}">
                  <a14:compatExt spid="_x0000_s5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241081</xdr:colOff>
      <xdr:row>26</xdr:row>
      <xdr:rowOff>51238</xdr:rowOff>
    </xdr:from>
    <xdr:to>
      <xdr:col>2</xdr:col>
      <xdr:colOff>549823</xdr:colOff>
      <xdr:row>26</xdr:row>
      <xdr:rowOff>352064</xdr:rowOff>
    </xdr:to>
    <xdr:pic>
      <xdr:nvPicPr>
        <xdr:cNvPr id="38" name="Grafik 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t="14355" r="29546" b="11592"/>
        <a:stretch>
          <a:fillRect/>
        </a:stretch>
      </xdr:blipFill>
      <xdr:spPr bwMode="auto">
        <a:xfrm>
          <a:off x="1536481" y="6318688"/>
          <a:ext cx="308742" cy="300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24</xdr:row>
      <xdr:rowOff>52476</xdr:rowOff>
    </xdr:from>
    <xdr:to>
      <xdr:col>2</xdr:col>
      <xdr:colOff>589108</xdr:colOff>
      <xdr:row>24</xdr:row>
      <xdr:rowOff>351735</xdr:rowOff>
    </xdr:to>
    <xdr:pic>
      <xdr:nvPicPr>
        <xdr:cNvPr id="39" name="Grafik 4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51982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25</xdr:row>
      <xdr:rowOff>52476</xdr:rowOff>
    </xdr:from>
    <xdr:to>
      <xdr:col>2</xdr:col>
      <xdr:colOff>589108</xdr:colOff>
      <xdr:row>25</xdr:row>
      <xdr:rowOff>351735</xdr:rowOff>
    </xdr:to>
    <xdr:pic>
      <xdr:nvPicPr>
        <xdr:cNvPr id="40" name="Grafik 4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9198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179353</xdr:colOff>
      <xdr:row>23</xdr:row>
      <xdr:rowOff>52476</xdr:rowOff>
    </xdr:from>
    <xdr:to>
      <xdr:col>2</xdr:col>
      <xdr:colOff>589108</xdr:colOff>
      <xdr:row>23</xdr:row>
      <xdr:rowOff>351735</xdr:rowOff>
    </xdr:to>
    <xdr:pic>
      <xdr:nvPicPr>
        <xdr:cNvPr id="41" name="Grafik 4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6" t="14600" r="17779" b="10386"/>
        <a:stretch/>
      </xdr:blipFill>
      <xdr:spPr bwMode="auto">
        <a:xfrm>
          <a:off x="1474753" y="5119776"/>
          <a:ext cx="409755" cy="299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179357</xdr:colOff>
      <xdr:row>27</xdr:row>
      <xdr:rowOff>48883</xdr:rowOff>
    </xdr:from>
    <xdr:to>
      <xdr:col>2</xdr:col>
      <xdr:colOff>603689</xdr:colOff>
      <xdr:row>27</xdr:row>
      <xdr:rowOff>354402</xdr:rowOff>
    </xdr:to>
    <xdr:pic>
      <xdr:nvPicPr>
        <xdr:cNvPr id="43" name="Grafik 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26" t="11086" r="18655" b="15855"/>
        <a:stretch>
          <a:fillRect/>
        </a:stretch>
      </xdr:blipFill>
      <xdr:spPr bwMode="auto">
        <a:xfrm>
          <a:off x="1474757" y="6716383"/>
          <a:ext cx="424332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172168</xdr:colOff>
      <xdr:row>28</xdr:row>
      <xdr:rowOff>48884</xdr:rowOff>
    </xdr:from>
    <xdr:to>
      <xdr:col>2</xdr:col>
      <xdr:colOff>587312</xdr:colOff>
      <xdr:row>28</xdr:row>
      <xdr:rowOff>350807</xdr:rowOff>
    </xdr:to>
    <xdr:pic>
      <xdr:nvPicPr>
        <xdr:cNvPr id="44" name="Grafik 6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49" t="14209" r="11478" b="11075"/>
        <a:stretch>
          <a:fillRect/>
        </a:stretch>
      </xdr:blipFill>
      <xdr:spPr bwMode="auto">
        <a:xfrm>
          <a:off x="1467568" y="7116434"/>
          <a:ext cx="415144" cy="301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269216</xdr:colOff>
      <xdr:row>29</xdr:row>
      <xdr:rowOff>48883</xdr:rowOff>
    </xdr:from>
    <xdr:to>
      <xdr:col>2</xdr:col>
      <xdr:colOff>478255</xdr:colOff>
      <xdr:row>29</xdr:row>
      <xdr:rowOff>354402</xdr:rowOff>
    </xdr:to>
    <xdr:pic>
      <xdr:nvPicPr>
        <xdr:cNvPr id="45" name="Grafik 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5" t="5116" r="31250" b="11734"/>
        <a:stretch>
          <a:fillRect/>
        </a:stretch>
      </xdr:blipFill>
      <xdr:spPr bwMode="auto">
        <a:xfrm>
          <a:off x="1564616" y="7516483"/>
          <a:ext cx="209039" cy="305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240461</xdr:colOff>
      <xdr:row>30</xdr:row>
      <xdr:rowOff>48883</xdr:rowOff>
    </xdr:from>
    <xdr:to>
      <xdr:col>2</xdr:col>
      <xdr:colOff>533305</xdr:colOff>
      <xdr:row>30</xdr:row>
      <xdr:rowOff>357996</xdr:rowOff>
    </xdr:to>
    <xdr:pic>
      <xdr:nvPicPr>
        <xdr:cNvPr id="46" name="Grafik 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23" t="6113" r="21400" b="4770"/>
        <a:stretch>
          <a:fillRect/>
        </a:stretch>
      </xdr:blipFill>
      <xdr:spPr bwMode="auto">
        <a:xfrm>
          <a:off x="1535861" y="7916533"/>
          <a:ext cx="292844" cy="30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125442</xdr:colOff>
      <xdr:row>31</xdr:row>
      <xdr:rowOff>45289</xdr:rowOff>
    </xdr:from>
    <xdr:to>
      <xdr:col>2</xdr:col>
      <xdr:colOff>639792</xdr:colOff>
      <xdr:row>31</xdr:row>
      <xdr:rowOff>350089</xdr:rowOff>
    </xdr:to>
    <xdr:pic>
      <xdr:nvPicPr>
        <xdr:cNvPr id="47" name="Grafik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65" t="31874" r="14166" b="39500"/>
        <a:stretch>
          <a:fillRect/>
        </a:stretch>
      </xdr:blipFill>
      <xdr:spPr bwMode="auto">
        <a:xfrm>
          <a:off x="1420842" y="8312989"/>
          <a:ext cx="514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156733</xdr:colOff>
      <xdr:row>32</xdr:row>
      <xdr:rowOff>46758</xdr:rowOff>
    </xdr:from>
    <xdr:to>
      <xdr:col>2</xdr:col>
      <xdr:colOff>609290</xdr:colOff>
      <xdr:row>32</xdr:row>
      <xdr:rowOff>354155</xdr:rowOff>
    </xdr:to>
    <xdr:pic>
      <xdr:nvPicPr>
        <xdr:cNvPr id="48" name="Grafik 4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74" t="20183" r="20644" b="7898"/>
        <a:stretch>
          <a:fillRect/>
        </a:stretch>
      </xdr:blipFill>
      <xdr:spPr bwMode="auto">
        <a:xfrm>
          <a:off x="1452133" y="8714508"/>
          <a:ext cx="452557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247648</xdr:colOff>
      <xdr:row>33</xdr:row>
      <xdr:rowOff>51087</xdr:rowOff>
    </xdr:from>
    <xdr:to>
      <xdr:col>2</xdr:col>
      <xdr:colOff>550717</xdr:colOff>
      <xdr:row>33</xdr:row>
      <xdr:rowOff>354156</xdr:rowOff>
    </xdr:to>
    <xdr:pic>
      <xdr:nvPicPr>
        <xdr:cNvPr id="49" name="Grafik 4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5" r="4926" b="1785"/>
        <a:stretch>
          <a:fillRect/>
        </a:stretch>
      </xdr:blipFill>
      <xdr:spPr bwMode="auto">
        <a:xfrm>
          <a:off x="1543048" y="9118887"/>
          <a:ext cx="303069" cy="30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104775</xdr:colOff>
      <xdr:row>34</xdr:row>
      <xdr:rowOff>94385</xdr:rowOff>
    </xdr:from>
    <xdr:to>
      <xdr:col>2</xdr:col>
      <xdr:colOff>676275</xdr:colOff>
      <xdr:row>34</xdr:row>
      <xdr:rowOff>313460</xdr:rowOff>
    </xdr:to>
    <xdr:pic>
      <xdr:nvPicPr>
        <xdr:cNvPr id="50" name="Grafik 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4" t="5402" r="1610" b="10881"/>
        <a:stretch>
          <a:fillRect/>
        </a:stretch>
      </xdr:blipFill>
      <xdr:spPr bwMode="auto">
        <a:xfrm>
          <a:off x="1400175" y="9562235"/>
          <a:ext cx="571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126423</xdr:colOff>
      <xdr:row>35</xdr:row>
      <xdr:rowOff>55418</xdr:rowOff>
    </xdr:from>
    <xdr:to>
      <xdr:col>2</xdr:col>
      <xdr:colOff>654627</xdr:colOff>
      <xdr:row>35</xdr:row>
      <xdr:rowOff>352533</xdr:rowOff>
    </xdr:to>
    <xdr:pic>
      <xdr:nvPicPr>
        <xdr:cNvPr id="51" name="Grafik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823" y="9923318"/>
          <a:ext cx="528204" cy="297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282286</xdr:colOff>
      <xdr:row>36</xdr:row>
      <xdr:rowOff>51090</xdr:rowOff>
    </xdr:from>
    <xdr:to>
      <xdr:col>2</xdr:col>
      <xdr:colOff>498295</xdr:colOff>
      <xdr:row>36</xdr:row>
      <xdr:rowOff>358488</xdr:rowOff>
    </xdr:to>
    <xdr:pic>
      <xdr:nvPicPr>
        <xdr:cNvPr id="52" name="Grafik 180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7686" y="10319040"/>
          <a:ext cx="216009" cy="307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130753</xdr:colOff>
      <xdr:row>38</xdr:row>
      <xdr:rowOff>51089</xdr:rowOff>
    </xdr:from>
    <xdr:to>
      <xdr:col>2</xdr:col>
      <xdr:colOff>627448</xdr:colOff>
      <xdr:row>38</xdr:row>
      <xdr:rowOff>354157</xdr:rowOff>
    </xdr:to>
    <xdr:pic>
      <xdr:nvPicPr>
        <xdr:cNvPr id="53" name="Grafik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7" t="14072" r="20551" b="23247"/>
        <a:stretch>
          <a:fillRect/>
        </a:stretch>
      </xdr:blipFill>
      <xdr:spPr bwMode="auto">
        <a:xfrm>
          <a:off x="1426153" y="11119139"/>
          <a:ext cx="49669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74468</xdr:colOff>
      <xdr:row>39</xdr:row>
      <xdr:rowOff>68409</xdr:rowOff>
    </xdr:from>
    <xdr:to>
      <xdr:col>2</xdr:col>
      <xdr:colOff>698391</xdr:colOff>
      <xdr:row>39</xdr:row>
      <xdr:rowOff>336841</xdr:rowOff>
    </xdr:to>
    <xdr:pic>
      <xdr:nvPicPr>
        <xdr:cNvPr id="54" name="Grafik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57" t="30843" r="11552" b="19125"/>
        <a:stretch>
          <a:fillRect/>
        </a:stretch>
      </xdr:blipFill>
      <xdr:spPr bwMode="auto">
        <a:xfrm>
          <a:off x="1369868" y="11536509"/>
          <a:ext cx="623923" cy="26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204355</xdr:colOff>
      <xdr:row>40</xdr:row>
      <xdr:rowOff>51088</xdr:rowOff>
    </xdr:from>
    <xdr:to>
      <xdr:col>2</xdr:col>
      <xdr:colOff>573848</xdr:colOff>
      <xdr:row>40</xdr:row>
      <xdr:rowOff>349827</xdr:rowOff>
    </xdr:to>
    <xdr:pic>
      <xdr:nvPicPr>
        <xdr:cNvPr id="55" name="Grafik 3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33543" r="28694" b="15146"/>
        <a:stretch>
          <a:fillRect/>
        </a:stretch>
      </xdr:blipFill>
      <xdr:spPr bwMode="auto">
        <a:xfrm>
          <a:off x="1499755" y="11919238"/>
          <a:ext cx="369493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148071</xdr:colOff>
      <xdr:row>41</xdr:row>
      <xdr:rowOff>55418</xdr:rowOff>
    </xdr:from>
    <xdr:to>
      <xdr:col>2</xdr:col>
      <xdr:colOff>583376</xdr:colOff>
      <xdr:row>41</xdr:row>
      <xdr:rowOff>354157</xdr:rowOff>
    </xdr:to>
    <xdr:pic>
      <xdr:nvPicPr>
        <xdr:cNvPr id="56" name="Grafik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8" t="34966" r="29924" b="17989"/>
        <a:stretch>
          <a:fillRect/>
        </a:stretch>
      </xdr:blipFill>
      <xdr:spPr bwMode="auto">
        <a:xfrm>
          <a:off x="1443471" y="12323618"/>
          <a:ext cx="435305" cy="29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230335</xdr:colOff>
      <xdr:row>42</xdr:row>
      <xdr:rowOff>46759</xdr:rowOff>
    </xdr:from>
    <xdr:to>
      <xdr:col>2</xdr:col>
      <xdr:colOff>542062</xdr:colOff>
      <xdr:row>42</xdr:row>
      <xdr:rowOff>358486</xdr:rowOff>
    </xdr:to>
    <xdr:pic>
      <xdr:nvPicPr>
        <xdr:cNvPr id="57" name="Grafik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85" t="8955" r="21684" b="10030"/>
        <a:stretch>
          <a:fillRect/>
        </a:stretch>
      </xdr:blipFill>
      <xdr:spPr bwMode="auto">
        <a:xfrm>
          <a:off x="1525735" y="12715009"/>
          <a:ext cx="311727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148071</xdr:colOff>
      <xdr:row>43</xdr:row>
      <xdr:rowOff>46760</xdr:rowOff>
    </xdr:from>
    <xdr:to>
      <xdr:col>2</xdr:col>
      <xdr:colOff>603672</xdr:colOff>
      <xdr:row>43</xdr:row>
      <xdr:rowOff>358487</xdr:rowOff>
    </xdr:to>
    <xdr:pic>
      <xdr:nvPicPr>
        <xdr:cNvPr id="58" name="Grafik 2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5" b="12161"/>
        <a:stretch>
          <a:fillRect/>
        </a:stretch>
      </xdr:blipFill>
      <xdr:spPr bwMode="auto">
        <a:xfrm>
          <a:off x="1443471" y="13115060"/>
          <a:ext cx="455601" cy="31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70140</xdr:colOff>
      <xdr:row>44</xdr:row>
      <xdr:rowOff>55420</xdr:rowOff>
    </xdr:from>
    <xdr:to>
      <xdr:col>2</xdr:col>
      <xdr:colOff>689948</xdr:colOff>
      <xdr:row>44</xdr:row>
      <xdr:rowOff>349829</xdr:rowOff>
    </xdr:to>
    <xdr:pic>
      <xdr:nvPicPr>
        <xdr:cNvPr id="59" name="Grafik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36" t="25301" r="13068" b="23958"/>
        <a:stretch>
          <a:fillRect/>
        </a:stretch>
      </xdr:blipFill>
      <xdr:spPr bwMode="auto">
        <a:xfrm>
          <a:off x="1365540" y="13523770"/>
          <a:ext cx="619808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122092</xdr:colOff>
      <xdr:row>45</xdr:row>
      <xdr:rowOff>46758</xdr:rowOff>
    </xdr:from>
    <xdr:to>
      <xdr:col>2</xdr:col>
      <xdr:colOff>637190</xdr:colOff>
      <xdr:row>45</xdr:row>
      <xdr:rowOff>354155</xdr:rowOff>
    </xdr:to>
    <xdr:pic>
      <xdr:nvPicPr>
        <xdr:cNvPr id="60" name="Grafik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43" t="13219" r="17329" b="17705"/>
        <a:stretch>
          <a:fillRect/>
        </a:stretch>
      </xdr:blipFill>
      <xdr:spPr bwMode="auto">
        <a:xfrm>
          <a:off x="1417492" y="13915158"/>
          <a:ext cx="515098" cy="307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234661</xdr:colOff>
      <xdr:row>46</xdr:row>
      <xdr:rowOff>55418</xdr:rowOff>
    </xdr:from>
    <xdr:to>
      <xdr:col>2</xdr:col>
      <xdr:colOff>521113</xdr:colOff>
      <xdr:row>46</xdr:row>
      <xdr:rowOff>349827</xdr:rowOff>
    </xdr:to>
    <xdr:pic>
      <xdr:nvPicPr>
        <xdr:cNvPr id="61" name="Grafik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35" t="7106" r="16573" b="10455"/>
        <a:stretch>
          <a:fillRect/>
        </a:stretch>
      </xdr:blipFill>
      <xdr:spPr bwMode="auto">
        <a:xfrm>
          <a:off x="1530061" y="14323868"/>
          <a:ext cx="286452" cy="294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48</xdr:row>
      <xdr:rowOff>72735</xdr:rowOff>
    </xdr:from>
    <xdr:to>
      <xdr:col>2</xdr:col>
      <xdr:colOff>628650</xdr:colOff>
      <xdr:row>48</xdr:row>
      <xdr:rowOff>332930</xdr:rowOff>
    </xdr:to>
    <xdr:pic>
      <xdr:nvPicPr>
        <xdr:cNvPr id="62" name="Grafik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14128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49</xdr:row>
      <xdr:rowOff>72735</xdr:rowOff>
    </xdr:from>
    <xdr:to>
      <xdr:col>2</xdr:col>
      <xdr:colOff>628650</xdr:colOff>
      <xdr:row>49</xdr:row>
      <xdr:rowOff>332930</xdr:rowOff>
    </xdr:to>
    <xdr:pic>
      <xdr:nvPicPr>
        <xdr:cNvPr id="63" name="Grafik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55413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143741</xdr:colOff>
      <xdr:row>47</xdr:row>
      <xdr:rowOff>72735</xdr:rowOff>
    </xdr:from>
    <xdr:to>
      <xdr:col>2</xdr:col>
      <xdr:colOff>628650</xdr:colOff>
      <xdr:row>47</xdr:row>
      <xdr:rowOff>332930</xdr:rowOff>
    </xdr:to>
    <xdr:pic>
      <xdr:nvPicPr>
        <xdr:cNvPr id="65" name="Grafik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9" t="11600" r="16527" b="10674"/>
        <a:stretch>
          <a:fillRect/>
        </a:stretch>
      </xdr:blipFill>
      <xdr:spPr bwMode="auto">
        <a:xfrm>
          <a:off x="1439141" y="14741235"/>
          <a:ext cx="484909" cy="260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113434</xdr:colOff>
      <xdr:row>51</xdr:row>
      <xdr:rowOff>51090</xdr:rowOff>
    </xdr:from>
    <xdr:to>
      <xdr:col>2</xdr:col>
      <xdr:colOff>629469</xdr:colOff>
      <xdr:row>51</xdr:row>
      <xdr:rowOff>354158</xdr:rowOff>
    </xdr:to>
    <xdr:pic>
      <xdr:nvPicPr>
        <xdr:cNvPr id="66" name="Grafik 2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32"/>
        <a:stretch>
          <a:fillRect/>
        </a:stretch>
      </xdr:blipFill>
      <xdr:spPr bwMode="auto">
        <a:xfrm>
          <a:off x="1408834" y="16319790"/>
          <a:ext cx="516035" cy="303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308264</xdr:colOff>
      <xdr:row>57</xdr:row>
      <xdr:rowOff>64080</xdr:rowOff>
    </xdr:from>
    <xdr:to>
      <xdr:col>2</xdr:col>
      <xdr:colOff>462731</xdr:colOff>
      <xdr:row>57</xdr:row>
      <xdr:rowOff>346668</xdr:rowOff>
    </xdr:to>
    <xdr:pic>
      <xdr:nvPicPr>
        <xdr:cNvPr id="67" name="Grafik 78"/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" r="55460" b="21064"/>
        <a:stretch/>
      </xdr:blipFill>
      <xdr:spPr bwMode="auto">
        <a:xfrm>
          <a:off x="1603664" y="18733080"/>
          <a:ext cx="154467" cy="282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194959</xdr:colOff>
      <xdr:row>61</xdr:row>
      <xdr:rowOff>46207</xdr:rowOff>
    </xdr:from>
    <xdr:to>
      <xdr:col>2</xdr:col>
      <xdr:colOff>592172</xdr:colOff>
      <xdr:row>61</xdr:row>
      <xdr:rowOff>354250</xdr:rowOff>
    </xdr:to>
    <xdr:pic>
      <xdr:nvPicPr>
        <xdr:cNvPr id="68" name="Grafik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t="13077" r="5115" b="9319"/>
        <a:stretch>
          <a:fillRect/>
        </a:stretch>
      </xdr:blipFill>
      <xdr:spPr bwMode="auto">
        <a:xfrm>
          <a:off x="1490359" y="20315407"/>
          <a:ext cx="397213" cy="308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146320</xdr:colOff>
      <xdr:row>62</xdr:row>
      <xdr:rowOff>102951</xdr:rowOff>
    </xdr:from>
    <xdr:to>
      <xdr:col>2</xdr:col>
      <xdr:colOff>632703</xdr:colOff>
      <xdr:row>62</xdr:row>
      <xdr:rowOff>309664</xdr:rowOff>
    </xdr:to>
    <xdr:grpSp>
      <xdr:nvGrpSpPr>
        <xdr:cNvPr id="69" name="Gruppieren 74"/>
        <xdr:cNvGrpSpPr>
          <a:grpSpLocks/>
        </xdr:cNvGrpSpPr>
      </xdr:nvGrpSpPr>
      <xdr:grpSpPr bwMode="auto">
        <a:xfrm>
          <a:off x="1441720" y="20772201"/>
          <a:ext cx="486383" cy="206713"/>
          <a:chOff x="1849755" y="26461853"/>
          <a:chExt cx="741045" cy="307205"/>
        </a:xfrm>
      </xdr:grpSpPr>
      <xdr:pic>
        <xdr:nvPicPr>
          <xdr:cNvPr id="70" name="Grafik 75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3409" t="37685" r="17474" b="30960"/>
          <a:stretch>
            <a:fillRect/>
          </a:stretch>
        </xdr:blipFill>
        <xdr:spPr bwMode="auto">
          <a:xfrm>
            <a:off x="1849755" y="26461853"/>
            <a:ext cx="646392" cy="299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" name="Rechteck 76"/>
          <xdr:cNvSpPr>
            <a:spLocks noChangeArrowheads="1"/>
          </xdr:cNvSpPr>
        </xdr:nvSpPr>
        <xdr:spPr bwMode="auto">
          <a:xfrm>
            <a:off x="2362200" y="26605228"/>
            <a:ext cx="228600" cy="16383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276023</xdr:colOff>
      <xdr:row>63</xdr:row>
      <xdr:rowOff>54313</xdr:rowOff>
    </xdr:from>
    <xdr:to>
      <xdr:col>2</xdr:col>
      <xdr:colOff>488452</xdr:colOff>
      <xdr:row>63</xdr:row>
      <xdr:rowOff>350196</xdr:rowOff>
    </xdr:to>
    <xdr:pic>
      <xdr:nvPicPr>
        <xdr:cNvPr id="72" name="Grafik 5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73" t="5556" r="37392" b="31746"/>
        <a:stretch>
          <a:fillRect/>
        </a:stretch>
      </xdr:blipFill>
      <xdr:spPr bwMode="auto">
        <a:xfrm>
          <a:off x="1571423" y="21123613"/>
          <a:ext cx="212429" cy="295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162534</xdr:colOff>
      <xdr:row>64</xdr:row>
      <xdr:rowOff>50259</xdr:rowOff>
    </xdr:from>
    <xdr:to>
      <xdr:col>2</xdr:col>
      <xdr:colOff>612440</xdr:colOff>
      <xdr:row>64</xdr:row>
      <xdr:rowOff>350196</xdr:rowOff>
    </xdr:to>
    <xdr:pic>
      <xdr:nvPicPr>
        <xdr:cNvPr id="73" name="Grafik 6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934" y="21519609"/>
          <a:ext cx="449906" cy="299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282286</xdr:colOff>
      <xdr:row>37</xdr:row>
      <xdr:rowOff>51090</xdr:rowOff>
    </xdr:from>
    <xdr:to>
      <xdr:col>2</xdr:col>
      <xdr:colOff>498295</xdr:colOff>
      <xdr:row>37</xdr:row>
      <xdr:rowOff>358488</xdr:rowOff>
    </xdr:to>
    <xdr:pic>
      <xdr:nvPicPr>
        <xdr:cNvPr id="74" name="Grafik 180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7" t="2940" r="23587" b="3934"/>
        <a:stretch>
          <a:fillRect/>
        </a:stretch>
      </xdr:blipFill>
      <xdr:spPr bwMode="auto">
        <a:xfrm>
          <a:off x="1577686" y="10719090"/>
          <a:ext cx="216009" cy="307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181388</xdr:colOff>
      <xdr:row>50</xdr:row>
      <xdr:rowOff>54665</xdr:rowOff>
    </xdr:from>
    <xdr:to>
      <xdr:col>2</xdr:col>
      <xdr:colOff>574369</xdr:colOff>
      <xdr:row>50</xdr:row>
      <xdr:rowOff>349401</xdr:rowOff>
    </xdr:to>
    <xdr:pic>
      <xdr:nvPicPr>
        <xdr:cNvPr id="75" name="Grafik 2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788" y="15923315"/>
          <a:ext cx="392981" cy="294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52</xdr:row>
      <xdr:rowOff>49530</xdr:rowOff>
    </xdr:from>
    <xdr:to>
      <xdr:col>2</xdr:col>
      <xdr:colOff>562118</xdr:colOff>
      <xdr:row>52</xdr:row>
      <xdr:rowOff>352892</xdr:rowOff>
    </xdr:to>
    <xdr:pic>
      <xdr:nvPicPr>
        <xdr:cNvPr id="76" name="Grafik 18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67182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53</xdr:row>
      <xdr:rowOff>49530</xdr:rowOff>
    </xdr:from>
    <xdr:to>
      <xdr:col>2</xdr:col>
      <xdr:colOff>562118</xdr:colOff>
      <xdr:row>53</xdr:row>
      <xdr:rowOff>352892</xdr:rowOff>
    </xdr:to>
    <xdr:pic>
      <xdr:nvPicPr>
        <xdr:cNvPr id="77" name="Grafik 18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1183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54</xdr:row>
      <xdr:rowOff>49530</xdr:rowOff>
    </xdr:from>
    <xdr:to>
      <xdr:col>2</xdr:col>
      <xdr:colOff>562118</xdr:colOff>
      <xdr:row>54</xdr:row>
      <xdr:rowOff>352892</xdr:rowOff>
    </xdr:to>
    <xdr:pic>
      <xdr:nvPicPr>
        <xdr:cNvPr id="78" name="Grafik 18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5183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55</xdr:row>
      <xdr:rowOff>49530</xdr:rowOff>
    </xdr:from>
    <xdr:to>
      <xdr:col>2</xdr:col>
      <xdr:colOff>562118</xdr:colOff>
      <xdr:row>55</xdr:row>
      <xdr:rowOff>352892</xdr:rowOff>
    </xdr:to>
    <xdr:pic>
      <xdr:nvPicPr>
        <xdr:cNvPr id="79" name="Grafik 18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791843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56</xdr:row>
      <xdr:rowOff>49530</xdr:rowOff>
    </xdr:from>
    <xdr:to>
      <xdr:col>2</xdr:col>
      <xdr:colOff>562118</xdr:colOff>
      <xdr:row>56</xdr:row>
      <xdr:rowOff>352892</xdr:rowOff>
    </xdr:to>
    <xdr:pic>
      <xdr:nvPicPr>
        <xdr:cNvPr id="80" name="Grafik 18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9" t="5731" r="8376" b="2588"/>
        <a:stretch>
          <a:fillRect/>
        </a:stretch>
      </xdr:blipFill>
      <xdr:spPr bwMode="auto">
        <a:xfrm>
          <a:off x="1485900" y="18318480"/>
          <a:ext cx="371618" cy="303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194959</xdr:colOff>
      <xdr:row>60</xdr:row>
      <xdr:rowOff>46207</xdr:rowOff>
    </xdr:from>
    <xdr:to>
      <xdr:col>2</xdr:col>
      <xdr:colOff>592172</xdr:colOff>
      <xdr:row>60</xdr:row>
      <xdr:rowOff>354250</xdr:rowOff>
    </xdr:to>
    <xdr:pic>
      <xdr:nvPicPr>
        <xdr:cNvPr id="81" name="Grafik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t="13077" r="5115" b="9319"/>
        <a:stretch>
          <a:fillRect/>
        </a:stretch>
      </xdr:blipFill>
      <xdr:spPr bwMode="auto">
        <a:xfrm>
          <a:off x="1490359" y="19915357"/>
          <a:ext cx="397213" cy="308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194959</xdr:colOff>
      <xdr:row>59</xdr:row>
      <xdr:rowOff>46207</xdr:rowOff>
    </xdr:from>
    <xdr:to>
      <xdr:col>2</xdr:col>
      <xdr:colOff>592172</xdr:colOff>
      <xdr:row>59</xdr:row>
      <xdr:rowOff>354250</xdr:rowOff>
    </xdr:to>
    <xdr:pic>
      <xdr:nvPicPr>
        <xdr:cNvPr id="82" name="Grafik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t="13077" r="5115" b="9319"/>
        <a:stretch>
          <a:fillRect/>
        </a:stretch>
      </xdr:blipFill>
      <xdr:spPr bwMode="auto">
        <a:xfrm>
          <a:off x="1490359" y="19515307"/>
          <a:ext cx="397213" cy="308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194959</xdr:colOff>
      <xdr:row>58</xdr:row>
      <xdr:rowOff>46207</xdr:rowOff>
    </xdr:from>
    <xdr:to>
      <xdr:col>2</xdr:col>
      <xdr:colOff>592172</xdr:colOff>
      <xdr:row>58</xdr:row>
      <xdr:rowOff>354250</xdr:rowOff>
    </xdr:to>
    <xdr:pic>
      <xdr:nvPicPr>
        <xdr:cNvPr id="83" name="Grafik 4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54" t="13077" r="5115" b="9319"/>
        <a:stretch>
          <a:fillRect/>
        </a:stretch>
      </xdr:blipFill>
      <xdr:spPr bwMode="auto">
        <a:xfrm>
          <a:off x="1490359" y="19115257"/>
          <a:ext cx="397213" cy="308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0</xdr:row>
      <xdr:rowOff>171450</xdr:rowOff>
    </xdr:from>
    <xdr:to>
      <xdr:col>4</xdr:col>
      <xdr:colOff>876300</xdr:colOff>
      <xdr:row>5</xdr:row>
      <xdr:rowOff>209550</xdr:rowOff>
    </xdr:to>
    <xdr:pic>
      <xdr:nvPicPr>
        <xdr:cNvPr id="84" name="Grafik 1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1450"/>
          <a:ext cx="19050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14</xdr:row>
          <xdr:rowOff>28575</xdr:rowOff>
        </xdr:from>
        <xdr:to>
          <xdr:col>11</xdr:col>
          <xdr:colOff>104775</xdr:colOff>
          <xdr:row>15</xdr:row>
          <xdr:rowOff>9525</xdr:rowOff>
        </xdr:to>
        <xdr:sp macro="" textlink="">
          <xdr:nvSpPr>
            <xdr:cNvPr id="57375" name="Option Button 31" hidden="1">
              <a:extLst>
                <a:ext uri="{63B3BB69-23CF-44E3-9099-C40C66FF867C}">
                  <a14:compatExt spid="_x0000_s57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15</xdr:row>
          <xdr:rowOff>9525</xdr:rowOff>
        </xdr:from>
        <xdr:to>
          <xdr:col>11</xdr:col>
          <xdr:colOff>104775</xdr:colOff>
          <xdr:row>16</xdr:row>
          <xdr:rowOff>0</xdr:rowOff>
        </xdr:to>
        <xdr:sp macro="" textlink="">
          <xdr:nvSpPr>
            <xdr:cNvPr id="57376" name="Option Button 32" hidden="1">
              <a:extLst>
                <a:ext uri="{63B3BB69-23CF-44E3-9099-C40C66FF867C}">
                  <a14:compatExt spid="_x0000_s5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495300</xdr:colOff>
          <xdr:row>16</xdr:row>
          <xdr:rowOff>9525</xdr:rowOff>
        </xdr:from>
        <xdr:to>
          <xdr:col>11</xdr:col>
          <xdr:colOff>104775</xdr:colOff>
          <xdr:row>17</xdr:row>
          <xdr:rowOff>0</xdr:rowOff>
        </xdr:to>
        <xdr:sp macro="" textlink="">
          <xdr:nvSpPr>
            <xdr:cNvPr id="57378" name="Option Button 34" hidden="1">
              <a:extLst>
                <a:ext uri="{63B3BB69-23CF-44E3-9099-C40C66FF867C}">
                  <a14:compatExt spid="_x0000_s57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57379" name="Option Button 35" hidden="1">
              <a:extLst>
                <a:ext uri="{63B3BB69-23CF-44E3-9099-C40C66FF867C}">
                  <a14:compatExt spid="_x0000_s5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57380" name="Option Button 36" hidden="1">
              <a:extLst>
                <a:ext uri="{63B3BB69-23CF-44E3-9099-C40C66FF867C}">
                  <a14:compatExt spid="_x0000_s5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133164</xdr:rowOff>
    </xdr:from>
    <xdr:to>
      <xdr:col>1</xdr:col>
      <xdr:colOff>600075</xdr:colOff>
      <xdr:row>5</xdr:row>
      <xdr:rowOff>95064</xdr:rowOff>
    </xdr:to>
    <xdr:pic>
      <xdr:nvPicPr>
        <xdr:cNvPr id="2" name="Grafik 4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133164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7</xdr:row>
          <xdr:rowOff>0</xdr:rowOff>
        </xdr:from>
        <xdr:to>
          <xdr:col>12</xdr:col>
          <xdr:colOff>419100</xdr:colOff>
          <xdr:row>8</xdr:row>
          <xdr:rowOff>0</xdr:rowOff>
        </xdr:to>
        <xdr:sp macro="" textlink="">
          <xdr:nvSpPr>
            <xdr:cNvPr id="58369" name="Group Box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13</xdr:row>
          <xdr:rowOff>0</xdr:rowOff>
        </xdr:from>
        <xdr:to>
          <xdr:col>12</xdr:col>
          <xdr:colOff>419100</xdr:colOff>
          <xdr:row>20</xdr:row>
          <xdr:rowOff>38100</xdr:rowOff>
        </xdr:to>
        <xdr:sp macro="" textlink="">
          <xdr:nvSpPr>
            <xdr:cNvPr id="58371" name="Group Box 3" hidden="1">
              <a:extLst>
                <a:ext uri="{63B3BB69-23CF-44E3-9099-C40C66FF867C}">
                  <a14:compatExt spid="_x0000_s58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571500</xdr:colOff>
          <xdr:row>11</xdr:row>
          <xdr:rowOff>0</xdr:rowOff>
        </xdr:from>
        <xdr:to>
          <xdr:col>12</xdr:col>
          <xdr:colOff>419100</xdr:colOff>
          <xdr:row>12</xdr:row>
          <xdr:rowOff>0</xdr:rowOff>
        </xdr:to>
        <xdr:sp macro="" textlink="">
          <xdr:nvSpPr>
            <xdr:cNvPr id="58377" name="Group Box 9" hidden="1">
              <a:extLst>
                <a:ext uri="{63B3BB69-23CF-44E3-9099-C40C66FF867C}">
                  <a14:compatExt spid="_x0000_s58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7</xdr:row>
          <xdr:rowOff>19050</xdr:rowOff>
        </xdr:from>
        <xdr:to>
          <xdr:col>11</xdr:col>
          <xdr:colOff>323850</xdr:colOff>
          <xdr:row>7</xdr:row>
          <xdr:rowOff>180975</xdr:rowOff>
        </xdr:to>
        <xdr:sp macro="" textlink="">
          <xdr:nvSpPr>
            <xdr:cNvPr id="58383" name="Option Button 15" hidden="1">
              <a:extLst>
                <a:ext uri="{63B3BB69-23CF-44E3-9099-C40C66FF867C}">
                  <a14:compatExt spid="_x0000_s58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14</xdr:row>
          <xdr:rowOff>19050</xdr:rowOff>
        </xdr:from>
        <xdr:to>
          <xdr:col>7</xdr:col>
          <xdr:colOff>171450</xdr:colOff>
          <xdr:row>15</xdr:row>
          <xdr:rowOff>0</xdr:rowOff>
        </xdr:to>
        <xdr:sp macro="" textlink="">
          <xdr:nvSpPr>
            <xdr:cNvPr id="58385" name="Option Button 17" hidden="1">
              <a:extLst>
                <a:ext uri="{63B3BB69-23CF-44E3-9099-C40C66FF867C}">
                  <a14:compatExt spid="_x0000_s58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15</xdr:row>
          <xdr:rowOff>19050</xdr:rowOff>
        </xdr:from>
        <xdr:to>
          <xdr:col>7</xdr:col>
          <xdr:colOff>171450</xdr:colOff>
          <xdr:row>16</xdr:row>
          <xdr:rowOff>0</xdr:rowOff>
        </xdr:to>
        <xdr:sp macro="" textlink="">
          <xdr:nvSpPr>
            <xdr:cNvPr id="58386" name="Option Button 18" hidden="1">
              <a:extLst>
                <a:ext uri="{63B3BB69-23CF-44E3-9099-C40C66FF867C}">
                  <a14:compatExt spid="_x0000_s58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16</xdr:row>
          <xdr:rowOff>19050</xdr:rowOff>
        </xdr:from>
        <xdr:to>
          <xdr:col>7</xdr:col>
          <xdr:colOff>171450</xdr:colOff>
          <xdr:row>17</xdr:row>
          <xdr:rowOff>0</xdr:rowOff>
        </xdr:to>
        <xdr:sp macro="" textlink="">
          <xdr:nvSpPr>
            <xdr:cNvPr id="58387" name="Option Button 19" hidden="1">
              <a:extLst>
                <a:ext uri="{63B3BB69-23CF-44E3-9099-C40C66FF867C}">
                  <a14:compatExt spid="_x0000_s58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17</xdr:row>
          <xdr:rowOff>19050</xdr:rowOff>
        </xdr:from>
        <xdr:to>
          <xdr:col>7</xdr:col>
          <xdr:colOff>171450</xdr:colOff>
          <xdr:row>18</xdr:row>
          <xdr:rowOff>0</xdr:rowOff>
        </xdr:to>
        <xdr:sp macro="" textlink="">
          <xdr:nvSpPr>
            <xdr:cNvPr id="58388" name="Option Button 20" hidden="1">
              <a:extLst>
                <a:ext uri="{63B3BB69-23CF-44E3-9099-C40C66FF867C}">
                  <a14:compatExt spid="_x0000_s58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18</xdr:row>
          <xdr:rowOff>19050</xdr:rowOff>
        </xdr:from>
        <xdr:to>
          <xdr:col>7</xdr:col>
          <xdr:colOff>171450</xdr:colOff>
          <xdr:row>19</xdr:row>
          <xdr:rowOff>0</xdr:rowOff>
        </xdr:to>
        <xdr:sp macro="" textlink="">
          <xdr:nvSpPr>
            <xdr:cNvPr id="58389" name="Option Button 21" hidden="1">
              <a:extLst>
                <a:ext uri="{63B3BB69-23CF-44E3-9099-C40C66FF867C}">
                  <a14:compatExt spid="_x0000_s58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561975</xdr:colOff>
          <xdr:row>19</xdr:row>
          <xdr:rowOff>19050</xdr:rowOff>
        </xdr:from>
        <xdr:to>
          <xdr:col>7</xdr:col>
          <xdr:colOff>171450</xdr:colOff>
          <xdr:row>20</xdr:row>
          <xdr:rowOff>0</xdr:rowOff>
        </xdr:to>
        <xdr:sp macro="" textlink="">
          <xdr:nvSpPr>
            <xdr:cNvPr id="58390" name="Option Button 22" hidden="1">
              <a:extLst>
                <a:ext uri="{63B3BB69-23CF-44E3-9099-C40C66FF867C}">
                  <a14:compatExt spid="_x0000_s58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14</xdr:row>
          <xdr:rowOff>19050</xdr:rowOff>
        </xdr:from>
        <xdr:to>
          <xdr:col>8</xdr:col>
          <xdr:colOff>809625</xdr:colOff>
          <xdr:row>15</xdr:row>
          <xdr:rowOff>0</xdr:rowOff>
        </xdr:to>
        <xdr:sp macro="" textlink="">
          <xdr:nvSpPr>
            <xdr:cNvPr id="58391" name="Option Button 23" hidden="1">
              <a:extLst>
                <a:ext uri="{63B3BB69-23CF-44E3-9099-C40C66FF867C}">
                  <a14:compatExt spid="_x0000_s58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15</xdr:row>
          <xdr:rowOff>19050</xdr:rowOff>
        </xdr:from>
        <xdr:to>
          <xdr:col>8</xdr:col>
          <xdr:colOff>809625</xdr:colOff>
          <xdr:row>16</xdr:row>
          <xdr:rowOff>0</xdr:rowOff>
        </xdr:to>
        <xdr:sp macro="" textlink="">
          <xdr:nvSpPr>
            <xdr:cNvPr id="58392" name="Option Button 24" hidden="1">
              <a:extLst>
                <a:ext uri="{63B3BB69-23CF-44E3-9099-C40C66FF867C}">
                  <a14:compatExt spid="_x0000_s58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16</xdr:row>
          <xdr:rowOff>19050</xdr:rowOff>
        </xdr:from>
        <xdr:to>
          <xdr:col>8</xdr:col>
          <xdr:colOff>809625</xdr:colOff>
          <xdr:row>17</xdr:row>
          <xdr:rowOff>0</xdr:rowOff>
        </xdr:to>
        <xdr:sp macro="" textlink="">
          <xdr:nvSpPr>
            <xdr:cNvPr id="58393" name="Option Button 25" hidden="1">
              <a:extLst>
                <a:ext uri="{63B3BB69-23CF-44E3-9099-C40C66FF867C}">
                  <a14:compatExt spid="_x0000_s58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17</xdr:row>
          <xdr:rowOff>19050</xdr:rowOff>
        </xdr:from>
        <xdr:to>
          <xdr:col>8</xdr:col>
          <xdr:colOff>809625</xdr:colOff>
          <xdr:row>18</xdr:row>
          <xdr:rowOff>0</xdr:rowOff>
        </xdr:to>
        <xdr:sp macro="" textlink="">
          <xdr:nvSpPr>
            <xdr:cNvPr id="58394" name="Option Button 26" hidden="1">
              <a:extLst>
                <a:ext uri="{63B3BB69-23CF-44E3-9099-C40C66FF867C}">
                  <a14:compatExt spid="_x0000_s58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18</xdr:row>
          <xdr:rowOff>19050</xdr:rowOff>
        </xdr:from>
        <xdr:to>
          <xdr:col>8</xdr:col>
          <xdr:colOff>809625</xdr:colOff>
          <xdr:row>19</xdr:row>
          <xdr:rowOff>0</xdr:rowOff>
        </xdr:to>
        <xdr:sp macro="" textlink="">
          <xdr:nvSpPr>
            <xdr:cNvPr id="58395" name="Option Button 27" hidden="1">
              <a:extLst>
                <a:ext uri="{63B3BB69-23CF-44E3-9099-C40C66FF867C}">
                  <a14:compatExt spid="_x0000_s58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19</xdr:row>
          <xdr:rowOff>19050</xdr:rowOff>
        </xdr:from>
        <xdr:to>
          <xdr:col>8</xdr:col>
          <xdr:colOff>809625</xdr:colOff>
          <xdr:row>20</xdr:row>
          <xdr:rowOff>0</xdr:rowOff>
        </xdr:to>
        <xdr:sp macro="" textlink="">
          <xdr:nvSpPr>
            <xdr:cNvPr id="58396" name="Option Button 28" hidden="1">
              <a:extLst>
                <a:ext uri="{63B3BB69-23CF-44E3-9099-C40C66FF867C}">
                  <a14:compatExt spid="_x0000_s58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228600</xdr:colOff>
      <xdr:row>23</xdr:row>
      <xdr:rowOff>59055</xdr:rowOff>
    </xdr:from>
    <xdr:to>
      <xdr:col>2</xdr:col>
      <xdr:colOff>554567</xdr:colOff>
      <xdr:row>23</xdr:row>
      <xdr:rowOff>352425</xdr:rowOff>
    </xdr:to>
    <xdr:pic>
      <xdr:nvPicPr>
        <xdr:cNvPr id="37" name="Grafik 1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t="8746" r="12022" b="15575"/>
        <a:stretch>
          <a:fillRect/>
        </a:stretch>
      </xdr:blipFill>
      <xdr:spPr bwMode="auto">
        <a:xfrm>
          <a:off x="1524000" y="5126355"/>
          <a:ext cx="325967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</xdr:colOff>
      <xdr:row>24</xdr:row>
      <xdr:rowOff>59055</xdr:rowOff>
    </xdr:from>
    <xdr:to>
      <xdr:col>2</xdr:col>
      <xdr:colOff>541020</xdr:colOff>
      <xdr:row>24</xdr:row>
      <xdr:rowOff>359411</xdr:rowOff>
    </xdr:to>
    <xdr:pic>
      <xdr:nvPicPr>
        <xdr:cNvPr id="38" name="Grafik 1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73" t="21344" r="24333" b="15968"/>
        <a:stretch>
          <a:fillRect/>
        </a:stretch>
      </xdr:blipFill>
      <xdr:spPr bwMode="auto">
        <a:xfrm>
          <a:off x="1508760" y="5526405"/>
          <a:ext cx="327660" cy="30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118111</xdr:colOff>
      <xdr:row>25</xdr:row>
      <xdr:rowOff>59056</xdr:rowOff>
    </xdr:from>
    <xdr:to>
      <xdr:col>2</xdr:col>
      <xdr:colOff>659893</xdr:colOff>
      <xdr:row>25</xdr:row>
      <xdr:rowOff>360046</xdr:rowOff>
    </xdr:to>
    <xdr:pic>
      <xdr:nvPicPr>
        <xdr:cNvPr id="39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1" t="22917" r="21249" b="31250"/>
        <a:stretch>
          <a:fillRect/>
        </a:stretch>
      </xdr:blipFill>
      <xdr:spPr bwMode="auto">
        <a:xfrm>
          <a:off x="1413511" y="5926456"/>
          <a:ext cx="541782" cy="300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201931</xdr:colOff>
      <xdr:row>26</xdr:row>
      <xdr:rowOff>62866</xdr:rowOff>
    </xdr:from>
    <xdr:to>
      <xdr:col>2</xdr:col>
      <xdr:colOff>601981</xdr:colOff>
      <xdr:row>26</xdr:row>
      <xdr:rowOff>360776</xdr:rowOff>
    </xdr:to>
    <xdr:pic>
      <xdr:nvPicPr>
        <xdr:cNvPr id="40" name="Grafik 13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331" y="6330316"/>
          <a:ext cx="400050" cy="297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262891</xdr:colOff>
      <xdr:row>27</xdr:row>
      <xdr:rowOff>62865</xdr:rowOff>
    </xdr:from>
    <xdr:to>
      <xdr:col>2</xdr:col>
      <xdr:colOff>499111</xdr:colOff>
      <xdr:row>27</xdr:row>
      <xdr:rowOff>360327</xdr:rowOff>
    </xdr:to>
    <xdr:pic>
      <xdr:nvPicPr>
        <xdr:cNvPr id="41" name="Grafik 13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7" t="17143" r="32341" b="12857"/>
        <a:stretch>
          <a:fillRect/>
        </a:stretch>
      </xdr:blipFill>
      <xdr:spPr bwMode="auto">
        <a:xfrm>
          <a:off x="1558291" y="6730365"/>
          <a:ext cx="236220" cy="297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220981</xdr:colOff>
      <xdr:row>28</xdr:row>
      <xdr:rowOff>62865</xdr:rowOff>
    </xdr:from>
    <xdr:to>
      <xdr:col>2</xdr:col>
      <xdr:colOff>555097</xdr:colOff>
      <xdr:row>28</xdr:row>
      <xdr:rowOff>356235</xdr:rowOff>
    </xdr:to>
    <xdr:pic>
      <xdr:nvPicPr>
        <xdr:cNvPr id="42" name="Grafik 13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37" t="19579" r="25378" b="17043"/>
        <a:stretch>
          <a:fillRect/>
        </a:stretch>
      </xdr:blipFill>
      <xdr:spPr bwMode="auto">
        <a:xfrm>
          <a:off x="1516381" y="7130415"/>
          <a:ext cx="33411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289560</xdr:colOff>
      <xdr:row>29</xdr:row>
      <xdr:rowOff>62865</xdr:rowOff>
    </xdr:from>
    <xdr:to>
      <xdr:col>2</xdr:col>
      <xdr:colOff>464820</xdr:colOff>
      <xdr:row>29</xdr:row>
      <xdr:rowOff>360807</xdr:rowOff>
    </xdr:to>
    <xdr:pic>
      <xdr:nvPicPr>
        <xdr:cNvPr id="43" name="Grafik 13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12" t="7951" r="29538" b="9700"/>
        <a:stretch>
          <a:fillRect/>
        </a:stretch>
      </xdr:blipFill>
      <xdr:spPr bwMode="auto">
        <a:xfrm>
          <a:off x="1584960" y="7530465"/>
          <a:ext cx="175260" cy="297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220980</xdr:colOff>
      <xdr:row>31</xdr:row>
      <xdr:rowOff>62865</xdr:rowOff>
    </xdr:from>
    <xdr:to>
      <xdr:col>2</xdr:col>
      <xdr:colOff>551180</xdr:colOff>
      <xdr:row>31</xdr:row>
      <xdr:rowOff>360045</xdr:rowOff>
    </xdr:to>
    <xdr:pic>
      <xdr:nvPicPr>
        <xdr:cNvPr id="44" name="Grafik 13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0" t="12907" r="26601" b="18829"/>
        <a:stretch>
          <a:fillRect/>
        </a:stretch>
      </xdr:blipFill>
      <xdr:spPr bwMode="auto">
        <a:xfrm>
          <a:off x="1516380" y="8330565"/>
          <a:ext cx="33020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335280</xdr:colOff>
      <xdr:row>32</xdr:row>
      <xdr:rowOff>62865</xdr:rowOff>
    </xdr:from>
    <xdr:to>
      <xdr:col>2</xdr:col>
      <xdr:colOff>475129</xdr:colOff>
      <xdr:row>32</xdr:row>
      <xdr:rowOff>360045</xdr:rowOff>
    </xdr:to>
    <xdr:pic>
      <xdr:nvPicPr>
        <xdr:cNvPr id="45" name="Grafik 1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5" t="15067" r="36319" b="12985"/>
        <a:stretch>
          <a:fillRect/>
        </a:stretch>
      </xdr:blipFill>
      <xdr:spPr bwMode="auto">
        <a:xfrm>
          <a:off x="1630680" y="8730615"/>
          <a:ext cx="139849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194311</xdr:colOff>
      <xdr:row>33</xdr:row>
      <xdr:rowOff>62866</xdr:rowOff>
    </xdr:from>
    <xdr:to>
      <xdr:col>2</xdr:col>
      <xdr:colOff>609601</xdr:colOff>
      <xdr:row>33</xdr:row>
      <xdr:rowOff>359502</xdr:rowOff>
    </xdr:to>
    <xdr:pic>
      <xdr:nvPicPr>
        <xdr:cNvPr id="46" name="Grafik 14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11" y="9130666"/>
          <a:ext cx="415290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160021</xdr:colOff>
      <xdr:row>34</xdr:row>
      <xdr:rowOff>62865</xdr:rowOff>
    </xdr:from>
    <xdr:to>
      <xdr:col>2</xdr:col>
      <xdr:colOff>643891</xdr:colOff>
      <xdr:row>34</xdr:row>
      <xdr:rowOff>361985</xdr:rowOff>
    </xdr:to>
    <xdr:pic>
      <xdr:nvPicPr>
        <xdr:cNvPr id="47" name="Grafik 5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012"/>
        <a:stretch>
          <a:fillRect/>
        </a:stretch>
      </xdr:blipFill>
      <xdr:spPr bwMode="auto">
        <a:xfrm>
          <a:off x="1455421" y="9530715"/>
          <a:ext cx="483870" cy="29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160021</xdr:colOff>
      <xdr:row>35</xdr:row>
      <xdr:rowOff>62865</xdr:rowOff>
    </xdr:from>
    <xdr:to>
      <xdr:col>2</xdr:col>
      <xdr:colOff>645915</xdr:colOff>
      <xdr:row>35</xdr:row>
      <xdr:rowOff>356235</xdr:rowOff>
    </xdr:to>
    <xdr:pic>
      <xdr:nvPicPr>
        <xdr:cNvPr id="48" name="Grafik 4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81" t="31726" r="24564" b="28786"/>
        <a:stretch>
          <a:fillRect/>
        </a:stretch>
      </xdr:blipFill>
      <xdr:spPr bwMode="auto">
        <a:xfrm>
          <a:off x="1455421" y="9930765"/>
          <a:ext cx="485894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36</xdr:row>
          <xdr:rowOff>85725</xdr:rowOff>
        </xdr:from>
        <xdr:to>
          <xdr:col>2</xdr:col>
          <xdr:colOff>685800</xdr:colOff>
          <xdr:row>36</xdr:row>
          <xdr:rowOff>333375</xdr:rowOff>
        </xdr:to>
        <xdr:sp macro="" textlink="">
          <xdr:nvSpPr>
            <xdr:cNvPr id="58398" name="Object 30" hidden="1">
              <a:extLst>
                <a:ext uri="{63B3BB69-23CF-44E3-9099-C40C66FF867C}">
                  <a14:compatExt spid="_x0000_s58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140971</xdr:colOff>
      <xdr:row>37</xdr:row>
      <xdr:rowOff>62865</xdr:rowOff>
    </xdr:from>
    <xdr:to>
      <xdr:col>2</xdr:col>
      <xdr:colOff>617221</xdr:colOff>
      <xdr:row>37</xdr:row>
      <xdr:rowOff>353458</xdr:rowOff>
    </xdr:to>
    <xdr:pic>
      <xdr:nvPicPr>
        <xdr:cNvPr id="50" name="Grafik 4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2276" r="8710" b="19930"/>
        <a:stretch>
          <a:fillRect/>
        </a:stretch>
      </xdr:blipFill>
      <xdr:spPr bwMode="auto">
        <a:xfrm>
          <a:off x="1436371" y="10730865"/>
          <a:ext cx="476250" cy="290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285751</xdr:colOff>
      <xdr:row>38</xdr:row>
      <xdr:rowOff>62865</xdr:rowOff>
    </xdr:from>
    <xdr:to>
      <xdr:col>2</xdr:col>
      <xdr:colOff>484207</xdr:colOff>
      <xdr:row>38</xdr:row>
      <xdr:rowOff>356235</xdr:rowOff>
    </xdr:to>
    <xdr:pic>
      <xdr:nvPicPr>
        <xdr:cNvPr id="51" name="Grafik 4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56" t="15669" r="34590" b="13824"/>
        <a:stretch>
          <a:fillRect/>
        </a:stretch>
      </xdr:blipFill>
      <xdr:spPr bwMode="auto">
        <a:xfrm>
          <a:off x="1581151" y="11130915"/>
          <a:ext cx="198456" cy="29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240030</xdr:colOff>
      <xdr:row>39</xdr:row>
      <xdr:rowOff>62865</xdr:rowOff>
    </xdr:from>
    <xdr:to>
      <xdr:col>2</xdr:col>
      <xdr:colOff>529590</xdr:colOff>
      <xdr:row>39</xdr:row>
      <xdr:rowOff>352425</xdr:rowOff>
    </xdr:to>
    <xdr:pic>
      <xdr:nvPicPr>
        <xdr:cNvPr id="52" name="Grafik 4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47" t="9758" r="24088" b="13087"/>
        <a:stretch>
          <a:fillRect/>
        </a:stretch>
      </xdr:blipFill>
      <xdr:spPr bwMode="auto">
        <a:xfrm>
          <a:off x="1535430" y="11530965"/>
          <a:ext cx="28956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457200</xdr:colOff>
      <xdr:row>0</xdr:row>
      <xdr:rowOff>133350</xdr:rowOff>
    </xdr:from>
    <xdr:to>
      <xdr:col>4</xdr:col>
      <xdr:colOff>866775</xdr:colOff>
      <xdr:row>6</xdr:row>
      <xdr:rowOff>9525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133350"/>
          <a:ext cx="1905000" cy="14287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676275</xdr:colOff>
          <xdr:row>11</xdr:row>
          <xdr:rowOff>28575</xdr:rowOff>
        </xdr:from>
        <xdr:to>
          <xdr:col>9</xdr:col>
          <xdr:colOff>133350</xdr:colOff>
          <xdr:row>11</xdr:row>
          <xdr:rowOff>180975</xdr:rowOff>
        </xdr:to>
        <xdr:sp macro="" textlink="">
          <xdr:nvSpPr>
            <xdr:cNvPr id="58399" name="Option Button 31" hidden="1">
              <a:extLst>
                <a:ext uri="{63B3BB69-23CF-44E3-9099-C40C66FF867C}">
                  <a14:compatExt spid="_x0000_s58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571500</xdr:colOff>
          <xdr:row>11</xdr:row>
          <xdr:rowOff>19050</xdr:rowOff>
        </xdr:from>
        <xdr:to>
          <xdr:col>11</xdr:col>
          <xdr:colOff>619125</xdr:colOff>
          <xdr:row>11</xdr:row>
          <xdr:rowOff>180975</xdr:rowOff>
        </xdr:to>
        <xdr:sp macro="" textlink="">
          <xdr:nvSpPr>
            <xdr:cNvPr id="58400" name="Option Button 32" hidden="1">
              <a:extLst>
                <a:ext uri="{63B3BB69-23CF-44E3-9099-C40C66FF867C}">
                  <a14:compatExt spid="_x0000_s58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13" Type="http://schemas.openxmlformats.org/officeDocument/2006/relationships/ctrlProp" Target="../ctrlProps/ctrlProp165.xml"/><Relationship Id="rId18" Type="http://schemas.openxmlformats.org/officeDocument/2006/relationships/ctrlProp" Target="../ctrlProps/ctrlProp170.xml"/><Relationship Id="rId26" Type="http://schemas.openxmlformats.org/officeDocument/2006/relationships/ctrlProp" Target="../ctrlProps/ctrlProp178.xml"/><Relationship Id="rId39" Type="http://schemas.openxmlformats.org/officeDocument/2006/relationships/ctrlProp" Target="../ctrlProps/ctrlProp191.xml"/><Relationship Id="rId3" Type="http://schemas.openxmlformats.org/officeDocument/2006/relationships/vmlDrawing" Target="../drawings/vmlDrawing10.vml"/><Relationship Id="rId21" Type="http://schemas.openxmlformats.org/officeDocument/2006/relationships/ctrlProp" Target="../ctrlProps/ctrlProp173.xml"/><Relationship Id="rId34" Type="http://schemas.openxmlformats.org/officeDocument/2006/relationships/ctrlProp" Target="../ctrlProps/ctrlProp186.xml"/><Relationship Id="rId7" Type="http://schemas.openxmlformats.org/officeDocument/2006/relationships/image" Target="../media/image123.emf"/><Relationship Id="rId12" Type="http://schemas.openxmlformats.org/officeDocument/2006/relationships/ctrlProp" Target="../ctrlProps/ctrlProp164.xml"/><Relationship Id="rId17" Type="http://schemas.openxmlformats.org/officeDocument/2006/relationships/ctrlProp" Target="../ctrlProps/ctrlProp169.xml"/><Relationship Id="rId25" Type="http://schemas.openxmlformats.org/officeDocument/2006/relationships/ctrlProp" Target="../ctrlProps/ctrlProp177.xml"/><Relationship Id="rId33" Type="http://schemas.openxmlformats.org/officeDocument/2006/relationships/ctrlProp" Target="../ctrlProps/ctrlProp185.xml"/><Relationship Id="rId38" Type="http://schemas.openxmlformats.org/officeDocument/2006/relationships/ctrlProp" Target="../ctrlProps/ctrlProp190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68.xml"/><Relationship Id="rId20" Type="http://schemas.openxmlformats.org/officeDocument/2006/relationships/ctrlProp" Target="../ctrlProps/ctrlProp172.xml"/><Relationship Id="rId29" Type="http://schemas.openxmlformats.org/officeDocument/2006/relationships/ctrlProp" Target="../ctrlProps/ctrlProp181.xml"/><Relationship Id="rId41" Type="http://schemas.openxmlformats.org/officeDocument/2006/relationships/ctrlProp" Target="../ctrlProps/ctrlProp193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5.bin"/><Relationship Id="rId11" Type="http://schemas.openxmlformats.org/officeDocument/2006/relationships/image" Target="../media/image142.emf"/><Relationship Id="rId24" Type="http://schemas.openxmlformats.org/officeDocument/2006/relationships/ctrlProp" Target="../ctrlProps/ctrlProp176.xml"/><Relationship Id="rId32" Type="http://schemas.openxmlformats.org/officeDocument/2006/relationships/ctrlProp" Target="../ctrlProps/ctrlProp184.xml"/><Relationship Id="rId37" Type="http://schemas.openxmlformats.org/officeDocument/2006/relationships/ctrlProp" Target="../ctrlProps/ctrlProp189.xml"/><Relationship Id="rId40" Type="http://schemas.openxmlformats.org/officeDocument/2006/relationships/ctrlProp" Target="../ctrlProps/ctrlProp192.xml"/><Relationship Id="rId5" Type="http://schemas.openxmlformats.org/officeDocument/2006/relationships/image" Target="../media/image140.emf"/><Relationship Id="rId15" Type="http://schemas.openxmlformats.org/officeDocument/2006/relationships/ctrlProp" Target="../ctrlProps/ctrlProp167.xml"/><Relationship Id="rId23" Type="http://schemas.openxmlformats.org/officeDocument/2006/relationships/ctrlProp" Target="../ctrlProps/ctrlProp175.xml"/><Relationship Id="rId28" Type="http://schemas.openxmlformats.org/officeDocument/2006/relationships/ctrlProp" Target="../ctrlProps/ctrlProp180.xml"/><Relationship Id="rId36" Type="http://schemas.openxmlformats.org/officeDocument/2006/relationships/ctrlProp" Target="../ctrlProps/ctrlProp188.xml"/><Relationship Id="rId10" Type="http://schemas.openxmlformats.org/officeDocument/2006/relationships/oleObject" Target="../embeddings/oleObject7.bin"/><Relationship Id="rId19" Type="http://schemas.openxmlformats.org/officeDocument/2006/relationships/ctrlProp" Target="../ctrlProps/ctrlProp171.xml"/><Relationship Id="rId31" Type="http://schemas.openxmlformats.org/officeDocument/2006/relationships/ctrlProp" Target="../ctrlProps/ctrlProp183.xml"/><Relationship Id="rId4" Type="http://schemas.openxmlformats.org/officeDocument/2006/relationships/oleObject" Target="../embeddings/oleObject4.bin"/><Relationship Id="rId9" Type="http://schemas.openxmlformats.org/officeDocument/2006/relationships/image" Target="../media/image141.emf"/><Relationship Id="rId14" Type="http://schemas.openxmlformats.org/officeDocument/2006/relationships/ctrlProp" Target="../ctrlProps/ctrlProp166.xml"/><Relationship Id="rId22" Type="http://schemas.openxmlformats.org/officeDocument/2006/relationships/ctrlProp" Target="../ctrlProps/ctrlProp174.xml"/><Relationship Id="rId27" Type="http://schemas.openxmlformats.org/officeDocument/2006/relationships/ctrlProp" Target="../ctrlProps/ctrlProp179.xml"/><Relationship Id="rId30" Type="http://schemas.openxmlformats.org/officeDocument/2006/relationships/ctrlProp" Target="../ctrlProps/ctrlProp182.xml"/><Relationship Id="rId35" Type="http://schemas.openxmlformats.org/officeDocument/2006/relationships/ctrlProp" Target="../ctrlProps/ctrlProp18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7.xml"/><Relationship Id="rId13" Type="http://schemas.openxmlformats.org/officeDocument/2006/relationships/ctrlProp" Target="../ctrlProps/ctrlProp42.xml"/><Relationship Id="rId18" Type="http://schemas.openxmlformats.org/officeDocument/2006/relationships/ctrlProp" Target="../ctrlProps/ctrlProp47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50.xml"/><Relationship Id="rId7" Type="http://schemas.openxmlformats.org/officeDocument/2006/relationships/ctrlProp" Target="../ctrlProps/ctrlProp36.xml"/><Relationship Id="rId12" Type="http://schemas.openxmlformats.org/officeDocument/2006/relationships/ctrlProp" Target="../ctrlProps/ctrlProp41.xml"/><Relationship Id="rId17" Type="http://schemas.openxmlformats.org/officeDocument/2006/relationships/ctrlProp" Target="../ctrlProps/ctrlProp46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45.xml"/><Relationship Id="rId20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5.xml"/><Relationship Id="rId11" Type="http://schemas.openxmlformats.org/officeDocument/2006/relationships/ctrlProp" Target="../ctrlProps/ctrlProp40.xml"/><Relationship Id="rId5" Type="http://schemas.openxmlformats.org/officeDocument/2006/relationships/ctrlProp" Target="../ctrlProps/ctrlProp34.xml"/><Relationship Id="rId15" Type="http://schemas.openxmlformats.org/officeDocument/2006/relationships/ctrlProp" Target="../ctrlProps/ctrlProp44.xml"/><Relationship Id="rId10" Type="http://schemas.openxmlformats.org/officeDocument/2006/relationships/ctrlProp" Target="../ctrlProps/ctrlProp39.xml"/><Relationship Id="rId19" Type="http://schemas.openxmlformats.org/officeDocument/2006/relationships/ctrlProp" Target="../ctrlProps/ctrlProp48.xml"/><Relationship Id="rId4" Type="http://schemas.openxmlformats.org/officeDocument/2006/relationships/ctrlProp" Target="../ctrlProps/ctrlProp33.xml"/><Relationship Id="rId9" Type="http://schemas.openxmlformats.org/officeDocument/2006/relationships/ctrlProp" Target="../ctrlProps/ctrlProp38.xml"/><Relationship Id="rId14" Type="http://schemas.openxmlformats.org/officeDocument/2006/relationships/ctrlProp" Target="../ctrlProps/ctrlProp4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13" Type="http://schemas.openxmlformats.org/officeDocument/2006/relationships/ctrlProp" Target="../ctrlProps/ctrlProp58.xml"/><Relationship Id="rId18" Type="http://schemas.openxmlformats.org/officeDocument/2006/relationships/ctrlProp" Target="../ctrlProps/ctrlProp63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66.xml"/><Relationship Id="rId7" Type="http://schemas.openxmlformats.org/officeDocument/2006/relationships/ctrlProp" Target="../ctrlProps/ctrlProp52.xml"/><Relationship Id="rId12" Type="http://schemas.openxmlformats.org/officeDocument/2006/relationships/ctrlProp" Target="../ctrlProps/ctrlProp57.xml"/><Relationship Id="rId17" Type="http://schemas.openxmlformats.org/officeDocument/2006/relationships/ctrlProp" Target="../ctrlProps/ctrlProp62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61.xml"/><Relationship Id="rId20" Type="http://schemas.openxmlformats.org/officeDocument/2006/relationships/ctrlProp" Target="../ctrlProps/ctrlProp6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1.xml"/><Relationship Id="rId11" Type="http://schemas.openxmlformats.org/officeDocument/2006/relationships/ctrlProp" Target="../ctrlProps/ctrlProp56.xml"/><Relationship Id="rId5" Type="http://schemas.openxmlformats.org/officeDocument/2006/relationships/image" Target="../media/image82.emf"/><Relationship Id="rId15" Type="http://schemas.openxmlformats.org/officeDocument/2006/relationships/ctrlProp" Target="../ctrlProps/ctrlProp60.xml"/><Relationship Id="rId23" Type="http://schemas.openxmlformats.org/officeDocument/2006/relationships/ctrlProp" Target="../ctrlProps/ctrlProp68.xml"/><Relationship Id="rId10" Type="http://schemas.openxmlformats.org/officeDocument/2006/relationships/ctrlProp" Target="../ctrlProps/ctrlProp55.xml"/><Relationship Id="rId19" Type="http://schemas.openxmlformats.org/officeDocument/2006/relationships/ctrlProp" Target="../ctrlProps/ctrlProp64.xml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54.xml"/><Relationship Id="rId14" Type="http://schemas.openxmlformats.org/officeDocument/2006/relationships/ctrlProp" Target="../ctrlProps/ctrlProp59.xml"/><Relationship Id="rId22" Type="http://schemas.openxmlformats.org/officeDocument/2006/relationships/ctrlProp" Target="../ctrlProps/ctrlProp6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3.xml"/><Relationship Id="rId13" Type="http://schemas.openxmlformats.org/officeDocument/2006/relationships/ctrlProp" Target="../ctrlProps/ctrlProp78.xml"/><Relationship Id="rId18" Type="http://schemas.openxmlformats.org/officeDocument/2006/relationships/ctrlProp" Target="../ctrlProps/ctrlProp83.xml"/><Relationship Id="rId3" Type="http://schemas.openxmlformats.org/officeDocument/2006/relationships/vmlDrawing" Target="../drawings/vmlDrawing5.vml"/><Relationship Id="rId21" Type="http://schemas.openxmlformats.org/officeDocument/2006/relationships/ctrlProp" Target="../ctrlProps/ctrlProp86.xml"/><Relationship Id="rId7" Type="http://schemas.openxmlformats.org/officeDocument/2006/relationships/ctrlProp" Target="../ctrlProps/ctrlProp72.xml"/><Relationship Id="rId12" Type="http://schemas.openxmlformats.org/officeDocument/2006/relationships/ctrlProp" Target="../ctrlProps/ctrlProp77.xml"/><Relationship Id="rId17" Type="http://schemas.openxmlformats.org/officeDocument/2006/relationships/ctrlProp" Target="../ctrlProps/ctrlProp82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81.xml"/><Relationship Id="rId20" Type="http://schemas.openxmlformats.org/officeDocument/2006/relationships/ctrlProp" Target="../ctrlProps/ctrlProp8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71.xml"/><Relationship Id="rId11" Type="http://schemas.openxmlformats.org/officeDocument/2006/relationships/ctrlProp" Target="../ctrlProps/ctrlProp76.xml"/><Relationship Id="rId5" Type="http://schemas.openxmlformats.org/officeDocument/2006/relationships/ctrlProp" Target="../ctrlProps/ctrlProp70.xml"/><Relationship Id="rId15" Type="http://schemas.openxmlformats.org/officeDocument/2006/relationships/ctrlProp" Target="../ctrlProps/ctrlProp80.xml"/><Relationship Id="rId10" Type="http://schemas.openxmlformats.org/officeDocument/2006/relationships/ctrlProp" Target="../ctrlProps/ctrlProp75.xml"/><Relationship Id="rId19" Type="http://schemas.openxmlformats.org/officeDocument/2006/relationships/ctrlProp" Target="../ctrlProps/ctrlProp84.xml"/><Relationship Id="rId4" Type="http://schemas.openxmlformats.org/officeDocument/2006/relationships/ctrlProp" Target="../ctrlProps/ctrlProp69.xml"/><Relationship Id="rId9" Type="http://schemas.openxmlformats.org/officeDocument/2006/relationships/ctrlProp" Target="../ctrlProps/ctrlProp74.xml"/><Relationship Id="rId14" Type="http://schemas.openxmlformats.org/officeDocument/2006/relationships/ctrlProp" Target="../ctrlProps/ctrlProp7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1.xml"/><Relationship Id="rId13" Type="http://schemas.openxmlformats.org/officeDocument/2006/relationships/ctrlProp" Target="../ctrlProps/ctrlProp96.xml"/><Relationship Id="rId18" Type="http://schemas.openxmlformats.org/officeDocument/2006/relationships/ctrlProp" Target="../ctrlProps/ctrlProp101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104.xml"/><Relationship Id="rId7" Type="http://schemas.openxmlformats.org/officeDocument/2006/relationships/ctrlProp" Target="../ctrlProps/ctrlProp90.xml"/><Relationship Id="rId12" Type="http://schemas.openxmlformats.org/officeDocument/2006/relationships/ctrlProp" Target="../ctrlProps/ctrlProp95.xml"/><Relationship Id="rId17" Type="http://schemas.openxmlformats.org/officeDocument/2006/relationships/ctrlProp" Target="../ctrlProps/ctrlProp100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99.xml"/><Relationship Id="rId20" Type="http://schemas.openxmlformats.org/officeDocument/2006/relationships/ctrlProp" Target="../ctrlProps/ctrlProp103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89.xml"/><Relationship Id="rId11" Type="http://schemas.openxmlformats.org/officeDocument/2006/relationships/ctrlProp" Target="../ctrlProps/ctrlProp94.xml"/><Relationship Id="rId5" Type="http://schemas.openxmlformats.org/officeDocument/2006/relationships/ctrlProp" Target="../ctrlProps/ctrlProp88.xml"/><Relationship Id="rId15" Type="http://schemas.openxmlformats.org/officeDocument/2006/relationships/ctrlProp" Target="../ctrlProps/ctrlProp98.xml"/><Relationship Id="rId10" Type="http://schemas.openxmlformats.org/officeDocument/2006/relationships/ctrlProp" Target="../ctrlProps/ctrlProp93.xml"/><Relationship Id="rId19" Type="http://schemas.openxmlformats.org/officeDocument/2006/relationships/ctrlProp" Target="../ctrlProps/ctrlProp102.xml"/><Relationship Id="rId4" Type="http://schemas.openxmlformats.org/officeDocument/2006/relationships/ctrlProp" Target="../ctrlProps/ctrlProp87.xml"/><Relationship Id="rId9" Type="http://schemas.openxmlformats.org/officeDocument/2006/relationships/ctrlProp" Target="../ctrlProps/ctrlProp92.xml"/><Relationship Id="rId14" Type="http://schemas.openxmlformats.org/officeDocument/2006/relationships/ctrlProp" Target="../ctrlProps/ctrlProp9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7.xml"/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3" Type="http://schemas.openxmlformats.org/officeDocument/2006/relationships/vmlDrawing" Target="../drawings/vmlDrawing7.vml"/><Relationship Id="rId21" Type="http://schemas.openxmlformats.org/officeDocument/2006/relationships/ctrlProp" Target="../ctrlProps/ctrlProp120.xml"/><Relationship Id="rId7" Type="http://schemas.openxmlformats.org/officeDocument/2006/relationships/ctrlProp" Target="../ctrlProps/ctrlProp106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5" Type="http://schemas.openxmlformats.org/officeDocument/2006/relationships/image" Target="../media/image82.emf"/><Relationship Id="rId15" Type="http://schemas.openxmlformats.org/officeDocument/2006/relationships/ctrlProp" Target="../ctrlProps/ctrlProp114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4" Type="http://schemas.openxmlformats.org/officeDocument/2006/relationships/oleObject" Target="../embeddings/oleObject2.bin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13" Type="http://schemas.openxmlformats.org/officeDocument/2006/relationships/ctrlProp" Target="../ctrlProps/ctrlProp131.xml"/><Relationship Id="rId18" Type="http://schemas.openxmlformats.org/officeDocument/2006/relationships/ctrlProp" Target="../ctrlProps/ctrlProp136.xml"/><Relationship Id="rId26" Type="http://schemas.openxmlformats.org/officeDocument/2006/relationships/ctrlProp" Target="../ctrlProps/ctrlProp144.xml"/><Relationship Id="rId3" Type="http://schemas.openxmlformats.org/officeDocument/2006/relationships/vmlDrawing" Target="../drawings/vmlDrawing8.vml"/><Relationship Id="rId21" Type="http://schemas.openxmlformats.org/officeDocument/2006/relationships/ctrlProp" Target="../ctrlProps/ctrlProp139.xml"/><Relationship Id="rId7" Type="http://schemas.openxmlformats.org/officeDocument/2006/relationships/ctrlProp" Target="../ctrlProps/ctrlProp125.xml"/><Relationship Id="rId12" Type="http://schemas.openxmlformats.org/officeDocument/2006/relationships/ctrlProp" Target="../ctrlProps/ctrlProp130.xml"/><Relationship Id="rId17" Type="http://schemas.openxmlformats.org/officeDocument/2006/relationships/ctrlProp" Target="../ctrlProps/ctrlProp135.xml"/><Relationship Id="rId25" Type="http://schemas.openxmlformats.org/officeDocument/2006/relationships/ctrlProp" Target="../ctrlProps/ctrlProp143.xml"/><Relationship Id="rId2" Type="http://schemas.openxmlformats.org/officeDocument/2006/relationships/drawing" Target="../drawings/drawing8.xml"/><Relationship Id="rId16" Type="http://schemas.openxmlformats.org/officeDocument/2006/relationships/ctrlProp" Target="../ctrlProps/ctrlProp134.xml"/><Relationship Id="rId20" Type="http://schemas.openxmlformats.org/officeDocument/2006/relationships/ctrlProp" Target="../ctrlProps/ctrlProp13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24.xml"/><Relationship Id="rId11" Type="http://schemas.openxmlformats.org/officeDocument/2006/relationships/ctrlProp" Target="../ctrlProps/ctrlProp129.xml"/><Relationship Id="rId24" Type="http://schemas.openxmlformats.org/officeDocument/2006/relationships/ctrlProp" Target="../ctrlProps/ctrlProp142.xml"/><Relationship Id="rId5" Type="http://schemas.openxmlformats.org/officeDocument/2006/relationships/ctrlProp" Target="../ctrlProps/ctrlProp123.xml"/><Relationship Id="rId15" Type="http://schemas.openxmlformats.org/officeDocument/2006/relationships/ctrlProp" Target="../ctrlProps/ctrlProp133.xml"/><Relationship Id="rId23" Type="http://schemas.openxmlformats.org/officeDocument/2006/relationships/ctrlProp" Target="../ctrlProps/ctrlProp141.xml"/><Relationship Id="rId10" Type="http://schemas.openxmlformats.org/officeDocument/2006/relationships/ctrlProp" Target="../ctrlProps/ctrlProp128.xml"/><Relationship Id="rId19" Type="http://schemas.openxmlformats.org/officeDocument/2006/relationships/ctrlProp" Target="../ctrlProps/ctrlProp137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Relationship Id="rId14" Type="http://schemas.openxmlformats.org/officeDocument/2006/relationships/ctrlProp" Target="../ctrlProps/ctrlProp132.xml"/><Relationship Id="rId22" Type="http://schemas.openxmlformats.org/officeDocument/2006/relationships/ctrlProp" Target="../ctrlProps/ctrlProp140.xml"/><Relationship Id="rId27" Type="http://schemas.openxmlformats.org/officeDocument/2006/relationships/ctrlProp" Target="../ctrlProps/ctrlProp14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8.xml"/><Relationship Id="rId13" Type="http://schemas.openxmlformats.org/officeDocument/2006/relationships/ctrlProp" Target="../ctrlProps/ctrlProp153.xml"/><Relationship Id="rId18" Type="http://schemas.openxmlformats.org/officeDocument/2006/relationships/ctrlProp" Target="../ctrlProps/ctrlProp158.xml"/><Relationship Id="rId3" Type="http://schemas.openxmlformats.org/officeDocument/2006/relationships/vmlDrawing" Target="../drawings/vmlDrawing9.vml"/><Relationship Id="rId21" Type="http://schemas.openxmlformats.org/officeDocument/2006/relationships/ctrlProp" Target="../ctrlProps/ctrlProp161.xml"/><Relationship Id="rId7" Type="http://schemas.openxmlformats.org/officeDocument/2006/relationships/ctrlProp" Target="../ctrlProps/ctrlProp147.xml"/><Relationship Id="rId12" Type="http://schemas.openxmlformats.org/officeDocument/2006/relationships/ctrlProp" Target="../ctrlProps/ctrlProp152.xml"/><Relationship Id="rId17" Type="http://schemas.openxmlformats.org/officeDocument/2006/relationships/ctrlProp" Target="../ctrlProps/ctrlProp157.xml"/><Relationship Id="rId2" Type="http://schemas.openxmlformats.org/officeDocument/2006/relationships/drawing" Target="../drawings/drawing9.xml"/><Relationship Id="rId16" Type="http://schemas.openxmlformats.org/officeDocument/2006/relationships/ctrlProp" Target="../ctrlProps/ctrlProp156.xml"/><Relationship Id="rId20" Type="http://schemas.openxmlformats.org/officeDocument/2006/relationships/ctrlProp" Target="../ctrlProps/ctrlProp160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46.xml"/><Relationship Id="rId11" Type="http://schemas.openxmlformats.org/officeDocument/2006/relationships/ctrlProp" Target="../ctrlProps/ctrlProp151.xml"/><Relationship Id="rId5" Type="http://schemas.openxmlformats.org/officeDocument/2006/relationships/image" Target="../media/image123.emf"/><Relationship Id="rId15" Type="http://schemas.openxmlformats.org/officeDocument/2006/relationships/ctrlProp" Target="../ctrlProps/ctrlProp155.xml"/><Relationship Id="rId23" Type="http://schemas.openxmlformats.org/officeDocument/2006/relationships/ctrlProp" Target="../ctrlProps/ctrlProp163.xml"/><Relationship Id="rId10" Type="http://schemas.openxmlformats.org/officeDocument/2006/relationships/ctrlProp" Target="../ctrlProps/ctrlProp150.xml"/><Relationship Id="rId19" Type="http://schemas.openxmlformats.org/officeDocument/2006/relationships/ctrlProp" Target="../ctrlProps/ctrlProp159.xml"/><Relationship Id="rId4" Type="http://schemas.openxmlformats.org/officeDocument/2006/relationships/oleObject" Target="../embeddings/oleObject3.bin"/><Relationship Id="rId9" Type="http://schemas.openxmlformats.org/officeDocument/2006/relationships/ctrlProp" Target="../ctrlProps/ctrlProp149.xml"/><Relationship Id="rId14" Type="http://schemas.openxmlformats.org/officeDocument/2006/relationships/ctrlProp" Target="../ctrlProps/ctrlProp154.xml"/><Relationship Id="rId22" Type="http://schemas.openxmlformats.org/officeDocument/2006/relationships/ctrlProp" Target="../ctrlProps/ctrlProp16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/>
  <dimension ref="A1:O73"/>
  <sheetViews>
    <sheetView showGridLines="0" zoomScaleNormal="100" workbookViewId="0">
      <selection activeCell="N60" sqref="N60"/>
    </sheetView>
  </sheetViews>
  <sheetFormatPr baseColWidth="10" defaultColWidth="0" defaultRowHeight="14.25" zeroHeight="1"/>
  <cols>
    <col min="1" max="1" width="3.73046875" customWidth="1"/>
    <col min="2" max="5" width="7.73046875" customWidth="1"/>
    <col min="6" max="6" width="3" customWidth="1"/>
    <col min="7" max="7" width="11.59765625" customWidth="1"/>
    <col min="8" max="8" width="5.73046875" customWidth="1"/>
    <col min="9" max="12" width="7.73046875" customWidth="1"/>
    <col min="13" max="13" width="11.73046875" customWidth="1"/>
    <col min="14" max="14" width="5.73046875" customWidth="1"/>
    <col min="15" max="16384" width="10.73046875" hidden="1"/>
  </cols>
  <sheetData>
    <row r="1" spans="3:15" ht="27.75">
      <c r="M1" s="2" t="str">
        <f>VLOOKUP("Bedienungsanleitung",Sprachindex!A:Z,$O$6,FALSE)</f>
        <v>Bedienungsanleitung</v>
      </c>
    </row>
    <row r="2" spans="3:15">
      <c r="C2" s="1"/>
      <c r="E2" s="257" t="str">
        <f>VLOOKUP("Sprache",Sprachindex!A:Z,$O$6,FALSE)</f>
        <v>Sprache</v>
      </c>
      <c r="F2" s="258"/>
      <c r="G2" s="259"/>
      <c r="H2" s="45"/>
      <c r="J2" s="70" t="s">
        <v>1260</v>
      </c>
      <c r="K2" t="str">
        <f>VLOOKUP("DACHPLATTE",Sprachindex!A:Z,Info!$O$6,FALSE)</f>
        <v>DACHPLATTE</v>
      </c>
    </row>
    <row r="3" spans="3:15">
      <c r="C3" s="1"/>
      <c r="E3" s="64"/>
      <c r="F3" s="65"/>
      <c r="G3" s="66" t="s">
        <v>1145</v>
      </c>
      <c r="H3" s="45"/>
      <c r="J3" s="70" t="s">
        <v>1261</v>
      </c>
      <c r="K3" t="str">
        <f>VLOOKUP("DACHPLATTE R.16",Sprachindex!A:Z,Info!$O$6,FALSE)</f>
        <v>DACHPLATTE R.16</v>
      </c>
    </row>
    <row r="4" spans="3:15">
      <c r="C4" s="1"/>
      <c r="E4" s="64"/>
      <c r="F4" s="65"/>
      <c r="G4" s="66" t="s">
        <v>1147</v>
      </c>
      <c r="H4" s="45"/>
      <c r="J4" s="70" t="s">
        <v>1263</v>
      </c>
      <c r="K4" t="str">
        <f>VLOOKUP("DACHSCHINDEL",Sprachindex!A:Z,Info!$O$6,FALSE)</f>
        <v>DACHSCHINDEL</v>
      </c>
    </row>
    <row r="5" spans="3:15">
      <c r="C5" s="1"/>
      <c r="E5" s="64"/>
      <c r="F5" s="65"/>
      <c r="G5" s="66" t="s">
        <v>1149</v>
      </c>
      <c r="H5" s="45"/>
      <c r="J5" s="70" t="s">
        <v>1262</v>
      </c>
      <c r="K5" t="str">
        <f>VLOOKUP("DACHRAUTE 44 × 44",Sprachindex!A:Z,Info!$O$6,FALSE)</f>
        <v>DACHRAUTE 44 × 44</v>
      </c>
    </row>
    <row r="6" spans="3:15">
      <c r="C6" s="1"/>
      <c r="E6" s="64"/>
      <c r="F6" s="65"/>
      <c r="G6" s="66" t="s">
        <v>1148</v>
      </c>
      <c r="H6" s="45"/>
      <c r="J6" s="70" t="s">
        <v>1264</v>
      </c>
      <c r="K6" t="str">
        <f>VLOOKUP("DACHRAUTE 29 × 29",Sprachindex!A:Z,Info!$O$6,FALSE)</f>
        <v>DACHRAUTE 29 × 29</v>
      </c>
      <c r="O6" s="69">
        <v>1</v>
      </c>
    </row>
    <row r="7" spans="3:15">
      <c r="E7" s="67"/>
      <c r="F7" s="68"/>
      <c r="G7" s="66" t="s">
        <v>1150</v>
      </c>
      <c r="H7" s="45"/>
      <c r="J7" s="70" t="s">
        <v>1265</v>
      </c>
      <c r="K7" t="str">
        <f>VLOOKUP("DACHPANEL FX.12",Sprachindex!A:Z,Info!$O$6,FALSE)</f>
        <v>DACHPANEL FX.12</v>
      </c>
    </row>
    <row r="8" spans="3:15">
      <c r="E8" s="67"/>
      <c r="F8" s="68"/>
      <c r="G8" s="66" t="s">
        <v>1151</v>
      </c>
      <c r="H8" s="45"/>
      <c r="J8" s="70" t="s">
        <v>1266</v>
      </c>
      <c r="K8" t="str">
        <f>VLOOKUP("PREFALZ",Sprachindex!A:Z,Info!$O$6,FALSE)</f>
        <v>PREFALZ</v>
      </c>
    </row>
    <row r="9" spans="3:15">
      <c r="E9" s="67"/>
      <c r="F9" s="68"/>
      <c r="G9" s="66" t="s">
        <v>1152</v>
      </c>
      <c r="H9" s="45"/>
      <c r="J9" s="70" t="s">
        <v>1267</v>
      </c>
      <c r="K9" t="str">
        <f>VLOOKUP("QUADRATROHR",Sprachindex!A:Z,Info!$O$6,FALSE)</f>
        <v>QUADRATROHR</v>
      </c>
    </row>
    <row r="10" spans="3:15">
      <c r="E10" s="67"/>
      <c r="F10" s="68"/>
      <c r="G10" s="66" t="s">
        <v>1153</v>
      </c>
      <c r="H10" s="45"/>
      <c r="J10" s="70" t="s">
        <v>1268</v>
      </c>
      <c r="K10" t="str">
        <f>VLOOKUP("DACHENTWÄSSERUNG",Sprachindex!A:Z,Info!$O$6,FALSE)</f>
        <v>DACHENTWÄSSERUNG</v>
      </c>
    </row>
    <row r="11" spans="3:15">
      <c r="E11" s="67"/>
      <c r="F11" s="68"/>
      <c r="G11" s="66" t="s">
        <v>1552</v>
      </c>
      <c r="H11" s="45"/>
      <c r="J11" s="70"/>
    </row>
    <row r="12" spans="3:15">
      <c r="E12" s="199"/>
      <c r="F12" s="200"/>
      <c r="G12" s="201" t="s">
        <v>2311</v>
      </c>
      <c r="H12" s="45"/>
      <c r="J12" s="70"/>
    </row>
    <row r="13" spans="3:15">
      <c r="E13" s="199"/>
      <c r="F13" s="200"/>
      <c r="G13" s="201" t="s">
        <v>4199</v>
      </c>
      <c r="H13" s="45"/>
    </row>
    <row r="14" spans="3:15">
      <c r="E14" s="199"/>
      <c r="F14" s="200"/>
      <c r="G14" s="201" t="s">
        <v>4200</v>
      </c>
      <c r="H14" s="45"/>
    </row>
    <row r="15" spans="3:15">
      <c r="E15" s="199"/>
      <c r="F15" s="200"/>
      <c r="G15" s="201" t="s">
        <v>5511</v>
      </c>
      <c r="H15" s="45"/>
    </row>
    <row r="16" spans="3:15">
      <c r="H16" s="45"/>
    </row>
    <row r="17" spans="2:13">
      <c r="B17" s="41" t="str">
        <f>VLOOKUP("1: Das gewünschte Produkt durch Anklicken des Reiters auswählen.",Sprachindex!A:Z,$O$6,FALSE)</f>
        <v>1: Das gewünschte Produkt durch Anklicken des Reiters auswählen.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3"/>
    </row>
    <row r="18" spans="2:13">
      <c r="B18" s="44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6"/>
    </row>
    <row r="19" spans="2:13">
      <c r="B19" s="47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9"/>
    </row>
    <row r="20" spans="2:13"/>
    <row r="21" spans="2:13">
      <c r="B21" s="251" t="str">
        <f>VLOOKUP("2: Sämtliche Felder, die grau hinterlegt sind, können befüllt werden oder sind mit einer vordefinierten Auswahlliste hinterlegt.",Sprachindex!A:Z,$O$6,FALSE)</f>
        <v>2: Sämtliche Felder, die grau hinterlegt sind, können befüllt werden oder sind mit einer vordefinierten Auswahlliste hinterlegt.</v>
      </c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3"/>
    </row>
    <row r="22" spans="2:13">
      <c r="B22" s="254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6"/>
    </row>
    <row r="23" spans="2:13">
      <c r="B23" s="44"/>
      <c r="C23" s="50"/>
      <c r="D23" s="45"/>
      <c r="E23" s="45"/>
      <c r="F23" s="45"/>
      <c r="G23" s="45"/>
      <c r="H23" s="45"/>
      <c r="I23" s="45"/>
      <c r="J23" s="45"/>
      <c r="K23" s="45"/>
      <c r="L23" s="45"/>
      <c r="M23" s="46"/>
    </row>
    <row r="24" spans="2:1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9"/>
    </row>
    <row r="25" spans="2:13" ht="15" customHeight="1"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</row>
    <row r="26" spans="2:13">
      <c r="B26" s="52" t="str">
        <f>VLOOKUP("3: Sämtliche Optionsfelder können angewählt werden.",Sprachindex!A:Z,$O$6,FALSE)</f>
        <v>3: Sämtliche Optionsfelder können angewählt werden.</v>
      </c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4"/>
    </row>
    <row r="27" spans="2:13">
      <c r="B27" s="44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6"/>
    </row>
    <row r="28" spans="2:13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9"/>
    </row>
    <row r="29" spans="2:13"/>
    <row r="30" spans="2:13">
      <c r="B30" s="52" t="str">
        <f>VLOOKUP("4: Eventualpositionen können hier gekennzeichnet werden.",Sprachindex!A:Z,$O$6,FALSE)</f>
        <v>4: Eventualpositionen können hier gekennzeichnet werden.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3"/>
    </row>
    <row r="31" spans="2:13">
      <c r="B31" s="44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6"/>
    </row>
    <row r="32" spans="2:13">
      <c r="B32" s="44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6"/>
    </row>
    <row r="33" spans="2:13">
      <c r="B33" s="44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6"/>
    </row>
    <row r="34" spans="2:13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9"/>
    </row>
    <row r="35" spans="2:13"/>
    <row r="36" spans="2:13">
      <c r="B36" s="52" t="str">
        <f>VLOOKUP("5: Am Tabellenende können Artikel, die nicht in der Liste aufgelistet sind, eingetragen werden..",Sprachindex!A:Z,$O$6,FALSE)</f>
        <v>5: Am Tabellenende können Artikel, die nicht in der Liste aufgelistet sind, eingetragen werden..</v>
      </c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3"/>
    </row>
    <row r="37" spans="2:13">
      <c r="B37" s="44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6"/>
    </row>
    <row r="38" spans="2:13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9"/>
    </row>
    <row r="39" spans="2:13"/>
    <row r="40" spans="2:13">
      <c r="B40" s="52" t="str">
        <f>VLOOKUP("6: Zusatzvermerke können hier eingefügt werden.",Sprachindex!A:Z,$O$6,FALSE)</f>
        <v>6: Zusatzvermerke können hier eingefügt werden.</v>
      </c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3"/>
    </row>
    <row r="41" spans="2:13">
      <c r="B41" s="44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6"/>
    </row>
    <row r="42" spans="2:13">
      <c r="B42" s="44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6"/>
    </row>
    <row r="43" spans="2:13">
      <c r="B43" s="44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6"/>
    </row>
    <row r="44" spans="2:13">
      <c r="B44" s="47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9"/>
    </row>
    <row r="45" spans="2:13"/>
    <row r="46" spans="2:13">
      <c r="B46" s="52" t="str">
        <f>VLOOKUP("7: Nicht benötigte Positionen können durch den Filter ausgeblendet werden.",Sprachindex!A:Z,$O$6,FALSE)</f>
        <v>7: Nicht benötigte Positionen können durch den Filter ausgeblendet werden.</v>
      </c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3"/>
    </row>
    <row r="47" spans="2:13">
      <c r="B47" s="44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6"/>
    </row>
    <row r="48" spans="2:13"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6"/>
    </row>
    <row r="49" spans="2:13">
      <c r="B49" s="44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6"/>
    </row>
    <row r="50" spans="2:13">
      <c r="B50" s="44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6"/>
    </row>
    <row r="51" spans="2:13">
      <c r="B51" s="44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6"/>
    </row>
    <row r="52" spans="2:13">
      <c r="B52" s="44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6"/>
    </row>
    <row r="53" spans="2:13">
      <c r="B53" s="44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6"/>
    </row>
    <row r="54" spans="2:13">
      <c r="B54" s="44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2:13">
      <c r="B55" s="44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6"/>
    </row>
    <row r="56" spans="2:13"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6"/>
    </row>
    <row r="57" spans="2:13">
      <c r="B57" s="47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9"/>
    </row>
    <row r="58" spans="2:13"/>
    <row r="59" spans="2:13">
      <c r="B59" s="20" t="str">
        <f>VLOOKUP("Anwendungstechnik",Sprachindex!A:Z,Info!$O$6,FALSE)</f>
        <v>Anwendungstechnik</v>
      </c>
      <c r="C59" s="16"/>
      <c r="D59" s="16"/>
      <c r="E59" s="71"/>
      <c r="F59" s="71"/>
      <c r="G59" s="71"/>
      <c r="H59" s="71"/>
      <c r="I59" s="71"/>
      <c r="J59" s="71"/>
      <c r="K59" s="71"/>
      <c r="L59" s="21" t="str">
        <f>VLOOKUP("Stand:",Sprachindex!A:Z,Info!$O$6,FALSE)</f>
        <v>Stand:</v>
      </c>
      <c r="M59" s="22">
        <v>43178</v>
      </c>
    </row>
    <row r="60" spans="2:13"/>
    <row r="61" spans="2:13" hidden="1"/>
    <row r="62" spans="2:13" hidden="1"/>
    <row r="63" spans="2:13" hidden="1"/>
    <row r="64" spans="2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</sheetData>
  <sheetProtection algorithmName="SHA-512" hashValue="NCgPcH54/LTCUp7NL0fMZdvDqpC68yxncKoElhnNkjkhOWzSOzNxt1iYE1wkO7DnPVdRSGzHR6DLWCM4UA0Z7A==" saltValue="Vb3SANMKeaB8ckoSXRfoWA==" spinCount="100000" sheet="1" objects="1" scenarios="1" selectLockedCells="1" selectUnlockedCells="1"/>
  <mergeCells count="2">
    <mergeCell ref="B21:M22"/>
    <mergeCell ref="E2:G2"/>
  </mergeCells>
  <pageMargins left="0.70866141732283472" right="0.70866141732283472" top="0.39370078740157483" bottom="0.78740157480314965" header="0.31496062992125984" footer="0.31496062992125984"/>
  <pageSetup paperSize="9" scale="8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Option Button 2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2</xdr:row>
                    <xdr:rowOff>19050</xdr:rowOff>
                  </from>
                  <to>
                    <xdr:col>6</xdr:col>
                    <xdr:colOff>609600</xdr:colOff>
                    <xdr:row>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5" name="Group Box 1">
              <controlPr defaultSize="0" print="0" autoFill="0" autoPict="0" altText="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Option Button 3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3</xdr:row>
                    <xdr:rowOff>19050</xdr:rowOff>
                  </from>
                  <to>
                    <xdr:col>6</xdr:col>
                    <xdr:colOff>609600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Option Button 4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4</xdr:row>
                    <xdr:rowOff>19050</xdr:rowOff>
                  </from>
                  <to>
                    <xdr:col>6</xdr:col>
                    <xdr:colOff>609600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Option Button 5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5</xdr:row>
                    <xdr:rowOff>28575</xdr:rowOff>
                  </from>
                  <to>
                    <xdr:col>6</xdr:col>
                    <xdr:colOff>609600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Option Button 6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6</xdr:row>
                    <xdr:rowOff>19050</xdr:rowOff>
                  </from>
                  <to>
                    <xdr:col>6</xdr:col>
                    <xdr:colOff>609600</xdr:colOff>
                    <xdr:row>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Option Button 7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7</xdr:row>
                    <xdr:rowOff>19050</xdr:rowOff>
                  </from>
                  <to>
                    <xdr:col>6</xdr:col>
                    <xdr:colOff>609600</xdr:colOff>
                    <xdr:row>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Option Button 8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8</xdr:row>
                    <xdr:rowOff>19050</xdr:rowOff>
                  </from>
                  <to>
                    <xdr:col>6</xdr:col>
                    <xdr:colOff>609600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Option Button 9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9</xdr:row>
                    <xdr:rowOff>19050</xdr:rowOff>
                  </from>
                  <to>
                    <xdr:col>6</xdr:col>
                    <xdr:colOff>609600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Option Button 10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10</xdr:row>
                    <xdr:rowOff>19050</xdr:rowOff>
                  </from>
                  <to>
                    <xdr:col>6</xdr:col>
                    <xdr:colOff>609600</xdr:colOff>
                    <xdr:row>10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Option Button 11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11</xdr:row>
                    <xdr:rowOff>19050</xdr:rowOff>
                  </from>
                  <to>
                    <xdr:col>6</xdr:col>
                    <xdr:colOff>609600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Option Button 12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12</xdr:row>
                    <xdr:rowOff>19050</xdr:rowOff>
                  </from>
                  <to>
                    <xdr:col>6</xdr:col>
                    <xdr:colOff>609600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Option Button 13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13</xdr:row>
                    <xdr:rowOff>19050</xdr:rowOff>
                  </from>
                  <to>
                    <xdr:col>6</xdr:col>
                    <xdr:colOff>609600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Option Button 14">
              <controlPr defaultSize="0" autoFill="0" autoLine="0" autoPict="0" altText="">
                <anchor moveWithCells="1">
                  <from>
                    <xdr:col>4</xdr:col>
                    <xdr:colOff>133350</xdr:colOff>
                    <xdr:row>14</xdr:row>
                    <xdr:rowOff>19050</xdr:rowOff>
                  </from>
                  <to>
                    <xdr:col>6</xdr:col>
                    <xdr:colOff>609600</xdr:colOff>
                    <xdr:row>14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EO176"/>
  <sheetViews>
    <sheetView showGridLines="0" showZeros="0" zoomScaleNormal="100" workbookViewId="0">
      <selection activeCell="C8" sqref="C8:E8"/>
    </sheetView>
  </sheetViews>
  <sheetFormatPr baseColWidth="10" defaultColWidth="0" defaultRowHeight="13.5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5" customWidth="1"/>
    <col min="15" max="15" width="33.3984375" style="12" hidden="1" customWidth="1"/>
    <col min="16" max="16" width="32.3984375" style="12" hidden="1" customWidth="1"/>
    <col min="17" max="17" width="5.1328125" style="1" hidden="1" customWidth="1"/>
    <col min="18" max="16384" width="8.73046875" style="1" hidden="1"/>
  </cols>
  <sheetData>
    <row r="1" spans="1:17" ht="27.75">
      <c r="M1" s="2" t="str">
        <f>VLOOKUP("PREFA DACHRINNENSYSTEME",Sprachindex!A:Z,Info!$O$6,FALSE)</f>
        <v>PREFA DACHRINNENSYSTEME</v>
      </c>
    </row>
    <row r="2" spans="1:17" ht="27.75">
      <c r="D2" s="23"/>
      <c r="M2" s="2" t="str">
        <f>VLOOKUP("DACHENTWÄSSERUNG",Sprachindex!A:Z,Info!$O$6,FALSE)</f>
        <v>DACHENTWÄSSERUNG</v>
      </c>
    </row>
    <row r="3" spans="1:17" ht="15" customHeight="1"/>
    <row r="4" spans="1:17" ht="17.25" customHeight="1">
      <c r="A4" s="123"/>
      <c r="B4" s="123"/>
      <c r="C4" s="123"/>
      <c r="D4" s="123"/>
      <c r="E4" s="123"/>
      <c r="F4" s="123"/>
      <c r="G4" s="123"/>
      <c r="H4" s="123"/>
      <c r="J4" s="152" t="str">
        <f>VLOOKUP("RETOURNIERUNG PER FAX:",Sprachindex!A:Z,Info!$O$6,FALSE)</f>
        <v>RETOURNIERUNG PER FAX:</v>
      </c>
      <c r="K4" s="260"/>
      <c r="L4" s="261"/>
      <c r="M4" s="262"/>
      <c r="N4" s="124"/>
      <c r="Q4" s="3"/>
    </row>
    <row r="5" spans="1:17" ht="17.25" customHeight="1">
      <c r="A5" s="123"/>
      <c r="B5" s="123"/>
      <c r="C5" s="123"/>
      <c r="D5" s="123"/>
      <c r="E5" s="123"/>
      <c r="F5" s="123"/>
      <c r="G5" s="123"/>
      <c r="H5" s="123"/>
      <c r="J5" s="152" t="str">
        <f>VLOOKUP("ODER EMAIL:",Sprachindex!A:Z,Info!$O$6,FALSE)</f>
        <v>ODER EMAIL:</v>
      </c>
      <c r="K5" s="260"/>
      <c r="L5" s="261"/>
      <c r="M5" s="262"/>
      <c r="N5" s="124"/>
      <c r="Q5" s="3"/>
    </row>
    <row r="6" spans="1:17" ht="17.25" customHeight="1">
      <c r="A6" s="123"/>
      <c r="B6" s="123"/>
      <c r="C6" s="123"/>
      <c r="D6" s="123"/>
      <c r="E6" s="123"/>
      <c r="F6" s="123"/>
      <c r="G6" s="123"/>
      <c r="H6" s="123"/>
      <c r="J6" s="152" t="str">
        <f>VLOOKUP("Datum:",Sprachindex!A:Z,Info!$O$6,FALSE)</f>
        <v>Datum:</v>
      </c>
      <c r="K6" s="260"/>
      <c r="L6" s="261"/>
      <c r="M6" s="262"/>
      <c r="N6" s="165">
        <v>0</v>
      </c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4"/>
      <c r="P7" s="13"/>
    </row>
    <row r="8" spans="1:17" ht="15" customHeight="1">
      <c r="A8" s="123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24"/>
      <c r="J8" s="122"/>
      <c r="K8" s="123"/>
      <c r="L8" s="122" t="str">
        <f>VLOOKUP("glatt",Sprachindex!A:Z,Info!$O$6,FALSE)</f>
        <v>glatt</v>
      </c>
      <c r="M8" s="123"/>
      <c r="N8" s="165">
        <v>1</v>
      </c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23"/>
      <c r="J9" s="124">
        <v>1</v>
      </c>
      <c r="K9" s="123"/>
      <c r="L9" s="123"/>
      <c r="M9" s="123"/>
      <c r="N9" s="124"/>
      <c r="Q9" s="4"/>
    </row>
    <row r="10" spans="1:17" ht="15" customHeight="1">
      <c r="A10" s="123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6">
        <v>2</v>
      </c>
      <c r="O10" s="14"/>
      <c r="Q10" s="4"/>
    </row>
    <row r="11" spans="1:17" ht="15" customHeight="1">
      <c r="A11" s="123"/>
      <c r="B11" s="123"/>
      <c r="C11" s="123"/>
      <c r="D11" s="123"/>
      <c r="E11" s="123"/>
      <c r="F11" s="123"/>
      <c r="G11" s="123"/>
      <c r="H11" s="123"/>
      <c r="I11" s="127"/>
      <c r="J11" s="124">
        <v>1</v>
      </c>
      <c r="K11" s="123"/>
      <c r="L11" s="123"/>
      <c r="M11" s="123"/>
      <c r="N11" s="124"/>
    </row>
    <row r="12" spans="1:17" ht="15" customHeight="1">
      <c r="A12" s="123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165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124"/>
      <c r="Q13" s="4"/>
    </row>
    <row r="14" spans="1:17" ht="15" customHeight="1">
      <c r="A14" s="123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124"/>
      <c r="Q14" s="4"/>
    </row>
    <row r="15" spans="1:17" ht="15" customHeight="1">
      <c r="A15" s="123"/>
      <c r="B15" s="123"/>
      <c r="C15" s="123"/>
      <c r="D15" s="123"/>
      <c r="E15" s="123"/>
      <c r="F15" s="123"/>
      <c r="G15" s="123" t="str">
        <f>VLOOKUP("01 braun",Sprachindex!A:Z,Info!$O$6,FALSE)</f>
        <v>01 braun</v>
      </c>
      <c r="H15" s="123"/>
      <c r="I15" s="122" t="str">
        <f>VLOOKUP("07 hellgrau",Sprachindex!A:Z,Info!$O$6,FALSE)</f>
        <v>07 hellgrau</v>
      </c>
      <c r="J15" s="123"/>
      <c r="K15" s="122"/>
      <c r="L15" s="123"/>
      <c r="M15" s="123"/>
      <c r="N15" s="124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anthrazit",Sprachindex!A:Z,Info!$O$6,FALSE)</f>
        <v>02 anthrazit</v>
      </c>
      <c r="H16" s="123"/>
      <c r="I16" s="122" t="str">
        <f>VLOOKUP("08 zinkgrau",Sprachindex!A:Z,Info!$O$6,FALSE)</f>
        <v>08 zinkgrau</v>
      </c>
      <c r="J16" s="123"/>
      <c r="K16" s="179"/>
      <c r="L16" s="123"/>
      <c r="M16" s="123"/>
      <c r="N16" s="124"/>
      <c r="P16" s="13"/>
    </row>
    <row r="17" spans="1:145" ht="15" customHeight="1">
      <c r="A17" s="123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schwarz",Sprachindex!A:Z,Info!$O$6,FALSE)</f>
        <v>03 schwarz</v>
      </c>
      <c r="H17" s="123"/>
      <c r="I17" s="122" t="str">
        <f>VLOOKUP("10 prefaweiß",Sprachindex!A:Z,Info!$O$6,FALSE)</f>
        <v>10 prefaweiß</v>
      </c>
      <c r="J17" s="123"/>
      <c r="K17" s="185"/>
      <c r="L17" s="123"/>
      <c r="M17" s="123"/>
      <c r="N17" s="160"/>
      <c r="Q17" s="4"/>
    </row>
    <row r="18" spans="1:145" ht="15" customHeight="1">
      <c r="A18" s="123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ziegelrot",Sprachindex!A:Z,Info!$O$6,FALSE)</f>
        <v>04 ziegelrot</v>
      </c>
      <c r="H18" s="123"/>
      <c r="I18" s="122" t="str">
        <f>VLOOKUP("11 nussbraun",Sprachindex!A:Z,Info!$O$6,FALSE)</f>
        <v>11 nussbraun</v>
      </c>
      <c r="J18" s="123"/>
      <c r="K18" s="123"/>
      <c r="L18" s="186"/>
      <c r="M18" s="123"/>
      <c r="N18" s="124"/>
      <c r="Q18" s="4"/>
    </row>
    <row r="19" spans="1:145" ht="15" customHeight="1">
      <c r="A19" s="123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oxydrot",Sprachindex!A:Z,Info!$O$6,FALSE)</f>
        <v>05 oxydrot</v>
      </c>
      <c r="H19" s="123"/>
      <c r="I19" s="122" t="str">
        <f>VLOOKUP("12 silbermetallic",Sprachindex!A:Z,Info!$O$6,FALSE)</f>
        <v>12 silbermetallic</v>
      </c>
      <c r="J19" s="123"/>
      <c r="K19" s="123"/>
      <c r="L19" s="123"/>
      <c r="M19" s="123"/>
      <c r="N19" s="124"/>
      <c r="Q19" s="4"/>
    </row>
    <row r="20" spans="1:145" ht="15" customHeight="1">
      <c r="A20" s="123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moosgrün",Sprachindex!A:Z,Info!$O$6,FALSE)</f>
        <v>06 moosgrün</v>
      </c>
      <c r="H20" s="123"/>
      <c r="I20" s="123" t="str">
        <f>VLOOKUP("13 naturblank",Sprachindex!A:Z,Info!$O$6,FALSE)</f>
        <v>13 naturblank</v>
      </c>
      <c r="J20" s="123"/>
      <c r="K20" s="123"/>
      <c r="L20" s="123"/>
      <c r="M20" s="123"/>
      <c r="N20" s="165"/>
      <c r="Q20" s="4"/>
    </row>
    <row r="21" spans="1:145" ht="15" customHeight="1">
      <c r="A21" s="123"/>
      <c r="B21" s="127"/>
      <c r="C21" s="123"/>
      <c r="D21" s="123"/>
      <c r="E21" s="123"/>
      <c r="F21" s="123"/>
      <c r="G21" s="123"/>
      <c r="H21" s="123"/>
      <c r="I21" s="160"/>
      <c r="J21" s="123"/>
      <c r="K21" s="123"/>
      <c r="L21" s="123"/>
      <c r="M21" s="123"/>
      <c r="N21" s="124"/>
      <c r="Q21" s="4"/>
    </row>
    <row r="22" spans="1:145" ht="15" customHeight="1">
      <c r="A22" s="123"/>
      <c r="B22" s="127"/>
      <c r="C22" s="123"/>
      <c r="D22" s="123"/>
      <c r="E22" s="123"/>
      <c r="F22" s="123"/>
      <c r="G22" s="123"/>
      <c r="H22" s="123"/>
      <c r="I22" s="160"/>
      <c r="J22" s="123"/>
      <c r="K22" s="123"/>
      <c r="L22" s="123"/>
      <c r="M22" s="123"/>
      <c r="N22" s="124"/>
      <c r="Q22" s="4"/>
    </row>
    <row r="23" spans="1:145" ht="15" customHeight="1">
      <c r="A23" s="123"/>
      <c r="B23" s="127"/>
      <c r="C23" s="123"/>
      <c r="D23" s="123"/>
      <c r="E23" s="123"/>
      <c r="F23" s="123"/>
      <c r="G23" s="159" t="str">
        <f>VLOOKUP("Rinnendimension:",Sprachindex!A:Z,Info!$O$6,FALSE)</f>
        <v>Rinnendimension:</v>
      </c>
      <c r="H23" s="123"/>
      <c r="I23" s="160"/>
      <c r="J23" s="159" t="str">
        <f>VLOOKUP("Ablaufdimension:",Sprachindex!A:Z,Info!$O$6,FALSE)</f>
        <v>Ablaufdimension:</v>
      </c>
      <c r="K23" s="123"/>
      <c r="L23" s="123"/>
      <c r="M23" s="123"/>
      <c r="N23" s="165"/>
      <c r="Q23" s="4"/>
    </row>
    <row r="24" spans="1:145" ht="15" customHeight="1">
      <c r="A24" s="123"/>
      <c r="B24" s="127"/>
      <c r="C24" s="123"/>
      <c r="D24" s="123"/>
      <c r="E24" s="123"/>
      <c r="F24" s="123"/>
      <c r="G24" s="122">
        <f>VLOOKUP(250,Sprachindex!A:Z,Info!$O$6,FALSE)</f>
        <v>250</v>
      </c>
      <c r="H24" s="123"/>
      <c r="I24" s="123"/>
      <c r="J24" s="123" t="str">
        <f>VLOOKUP("60 ⌀",Sprachindex!A:Z,Info!$O$6,FALSE)</f>
        <v>60 ⌀</v>
      </c>
      <c r="K24" s="123"/>
      <c r="L24" s="123"/>
      <c r="M24" s="123"/>
      <c r="N24" s="165"/>
      <c r="Q24" s="4"/>
    </row>
    <row r="25" spans="1:145" ht="15" customHeight="1">
      <c r="A25" s="123"/>
      <c r="B25" s="127"/>
      <c r="C25" s="123"/>
      <c r="D25" s="123"/>
      <c r="E25" s="123"/>
      <c r="F25" s="123"/>
      <c r="G25" s="122">
        <f>VLOOKUP(280,Sprachindex!A:Z,Info!$O$6,FALSE)</f>
        <v>280</v>
      </c>
      <c r="H25" s="123"/>
      <c r="I25" s="123"/>
      <c r="J25" s="123" t="str">
        <f>VLOOKUP("80 ⌀",Sprachindex!A:Z,Info!$O$6,FALSE)</f>
        <v>80 ⌀</v>
      </c>
      <c r="K25" s="123"/>
      <c r="L25" s="123"/>
      <c r="M25" s="123"/>
      <c r="N25" s="124"/>
      <c r="Q25" s="4"/>
    </row>
    <row r="26" spans="1:145" ht="15" customHeight="1">
      <c r="A26" s="123"/>
      <c r="B26" s="127"/>
      <c r="C26" s="123"/>
      <c r="D26" s="123"/>
      <c r="E26" s="123"/>
      <c r="F26" s="123"/>
      <c r="G26" s="122">
        <f>VLOOKUP(333,Sprachindex!A:Z,Info!$O$6,FALSE)</f>
        <v>333</v>
      </c>
      <c r="H26" s="123"/>
      <c r="I26" s="123"/>
      <c r="J26" s="123" t="str">
        <f>VLOOKUP("100 ⌀",Sprachindex!A:Z,Info!$O$6,FALSE)</f>
        <v>100 ⌀</v>
      </c>
      <c r="K26" s="123"/>
      <c r="L26" s="123"/>
      <c r="M26" s="123"/>
      <c r="N26" s="124"/>
      <c r="Q26" s="4"/>
    </row>
    <row r="27" spans="1:145" ht="15" customHeight="1">
      <c r="A27" s="123"/>
      <c r="B27" s="127"/>
      <c r="C27" s="123"/>
      <c r="D27" s="123"/>
      <c r="E27" s="123"/>
      <c r="F27" s="123"/>
      <c r="G27" s="122">
        <f>VLOOKUP(400,Sprachindex!A:Z,Info!$O$6,FALSE)</f>
        <v>400</v>
      </c>
      <c r="H27" s="123"/>
      <c r="I27" s="123"/>
      <c r="J27" s="123" t="str">
        <f>VLOOKUP("120 ⌀",Sprachindex!A:Z,Info!$O$6,FALSE)</f>
        <v>120 ⌀</v>
      </c>
      <c r="K27" s="123"/>
      <c r="L27" s="123"/>
      <c r="M27" s="123"/>
      <c r="N27" s="124"/>
      <c r="Q27" s="4"/>
    </row>
    <row r="28" spans="1:145" ht="15" customHeight="1">
      <c r="A28" s="123"/>
      <c r="B28" s="127"/>
      <c r="C28" s="123"/>
      <c r="D28" s="123"/>
      <c r="E28" s="123"/>
      <c r="F28" s="123"/>
      <c r="G28" s="122">
        <f>VLOOKUP(500,Sprachindex!A:Z,Info!$O$6,FALSE)</f>
        <v>500</v>
      </c>
      <c r="H28" s="123"/>
      <c r="I28" s="123"/>
      <c r="J28" s="123" t="str">
        <f>VLOOKUP("150 ⌀",Sprachindex!A:Z,Info!$O$6,FALSE)</f>
        <v>150 ⌀</v>
      </c>
      <c r="K28" s="123"/>
      <c r="L28" s="123"/>
      <c r="M28" s="123"/>
      <c r="N28" s="124"/>
      <c r="Q28" s="4"/>
    </row>
    <row r="29" spans="1:145" ht="15" customHeight="1">
      <c r="A29" s="123"/>
      <c r="B29" s="127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4"/>
      <c r="Q29" s="4"/>
    </row>
    <row r="30" spans="1:145" ht="15" customHeight="1" thickBot="1">
      <c r="A30" s="166" t="str">
        <f>VLOOKUP("Filter:",Sprachindex!A:Z,Info!$O$6,FALSE)</f>
        <v>Filter:</v>
      </c>
      <c r="B30" s="285"/>
      <c r="C30" s="285"/>
      <c r="D30" s="285"/>
      <c r="E30" s="285"/>
      <c r="F30" s="123"/>
      <c r="G30" s="123"/>
      <c r="H30" s="123"/>
      <c r="I30" s="123"/>
      <c r="J30" s="123"/>
      <c r="K30" s="123"/>
      <c r="L30" s="123"/>
      <c r="M30" s="123"/>
      <c r="N30" s="124"/>
    </row>
    <row r="31" spans="1:145" ht="35.1" customHeight="1" thickBot="1">
      <c r="A31" s="128" t="str">
        <f>VLOOKUP("Menge",Sprachindex!A:Z,Info!$O$6,FALSE)</f>
        <v>Menge</v>
      </c>
      <c r="B31" s="207" t="str">
        <f>VLOOKUP("Einheit",Sprachindex!A:Z,Info!$O$6,FALSE)</f>
        <v>Einheit</v>
      </c>
      <c r="C31" s="129" t="str">
        <f>VLOOKUP("Abbildung",Sprachindex!A:Z,Info!$O$6,FALSE)</f>
        <v>Abbildung</v>
      </c>
      <c r="D31" s="129" t="str">
        <f>VLOOKUP("Artikel Nr.",Sprachindex!A:Z,Info!$O$6,FALSE)</f>
        <v>Artikel Nr.</v>
      </c>
      <c r="E31" s="286" t="str">
        <f>VLOOKUP("Bezeichnung",Sprachindex!A:Z,Info!$O$6,FALSE)</f>
        <v>Bezeichnung</v>
      </c>
      <c r="F31" s="287"/>
      <c r="G31" s="287"/>
      <c r="H31" s="287"/>
      <c r="I31" s="287"/>
      <c r="J31" s="287"/>
      <c r="K31" s="288"/>
      <c r="L31" s="129" t="str">
        <f>VLOOKUP("Total",Sprachindex!A:Z,Info!$O$6,FALSE)</f>
        <v>Total</v>
      </c>
      <c r="M31" s="130" t="str">
        <f>VLOOKUP("Eventual",Sprachindex!A:Z,Info!$O$6,FALSE)</f>
        <v>Eventual</v>
      </c>
      <c r="N31" s="124"/>
      <c r="O31" s="1"/>
      <c r="Q31" s="12"/>
      <c r="T31" s="75" t="s">
        <v>1563</v>
      </c>
      <c r="U31" s="75" t="s">
        <v>3025</v>
      </c>
      <c r="V31" s="75" t="s">
        <v>3015</v>
      </c>
      <c r="W31" s="75" t="s">
        <v>3022</v>
      </c>
      <c r="X31" s="75" t="s">
        <v>702</v>
      </c>
      <c r="Y31" s="75" t="s">
        <v>3027</v>
      </c>
      <c r="Z31" s="75" t="s">
        <v>3023</v>
      </c>
      <c r="AA31" s="75" t="s">
        <v>3024</v>
      </c>
      <c r="AB31" s="75" t="s">
        <v>3026</v>
      </c>
      <c r="AC31" s="75" t="s">
        <v>1578</v>
      </c>
      <c r="AD31" s="75" t="s">
        <v>3028</v>
      </c>
      <c r="AE31" s="75" t="s">
        <v>3021</v>
      </c>
      <c r="AF31" s="75"/>
      <c r="AG31" s="107"/>
      <c r="AH31" s="75" t="s">
        <v>1563</v>
      </c>
      <c r="AI31" s="75" t="s">
        <v>3025</v>
      </c>
      <c r="AJ31" s="75" t="s">
        <v>3015</v>
      </c>
      <c r="AK31" s="75" t="s">
        <v>3022</v>
      </c>
      <c r="AL31" s="75" t="s">
        <v>702</v>
      </c>
      <c r="AM31" s="75" t="s">
        <v>3027</v>
      </c>
      <c r="AN31" s="75" t="s">
        <v>3023</v>
      </c>
      <c r="AO31" s="75" t="s">
        <v>3024</v>
      </c>
      <c r="AP31" s="75" t="s">
        <v>3026</v>
      </c>
      <c r="AQ31" s="75" t="s">
        <v>1578</v>
      </c>
      <c r="AR31" s="75" t="s">
        <v>3028</v>
      </c>
      <c r="AS31" s="75" t="s">
        <v>3021</v>
      </c>
      <c r="AT31" s="75"/>
      <c r="AU31" s="107"/>
      <c r="AV31" s="75" t="s">
        <v>1563</v>
      </c>
      <c r="AW31" s="75" t="s">
        <v>3025</v>
      </c>
      <c r="AX31" s="75" t="s">
        <v>3015</v>
      </c>
      <c r="AY31" s="75" t="s">
        <v>3022</v>
      </c>
      <c r="AZ31" s="75" t="s">
        <v>702</v>
      </c>
      <c r="BA31" s="75" t="s">
        <v>3027</v>
      </c>
      <c r="BB31" s="75" t="s">
        <v>3023</v>
      </c>
      <c r="BC31" s="75" t="s">
        <v>3024</v>
      </c>
      <c r="BD31" s="75" t="s">
        <v>3026</v>
      </c>
      <c r="BE31" s="75" t="s">
        <v>1578</v>
      </c>
      <c r="BF31" s="75" t="s">
        <v>3028</v>
      </c>
      <c r="BG31" s="75" t="s">
        <v>3021</v>
      </c>
      <c r="BH31" s="75"/>
      <c r="BI31" s="107"/>
      <c r="BJ31" s="75" t="s">
        <v>1563</v>
      </c>
      <c r="BK31" s="75" t="s">
        <v>3025</v>
      </c>
      <c r="BL31" s="75" t="s">
        <v>3015</v>
      </c>
      <c r="BM31" s="75" t="s">
        <v>3022</v>
      </c>
      <c r="BN31" s="75" t="s">
        <v>702</v>
      </c>
      <c r="BO31" s="75" t="s">
        <v>3027</v>
      </c>
      <c r="BP31" s="75" t="s">
        <v>3023</v>
      </c>
      <c r="BQ31" s="75" t="s">
        <v>3024</v>
      </c>
      <c r="BR31" s="75" t="s">
        <v>3026</v>
      </c>
      <c r="BS31" s="75" t="s">
        <v>1578</v>
      </c>
      <c r="BT31" s="75" t="s">
        <v>3028</v>
      </c>
      <c r="BU31" s="75" t="s">
        <v>3021</v>
      </c>
      <c r="BV31" s="75"/>
      <c r="BW31" s="107"/>
      <c r="BX31" s="75" t="s">
        <v>1563</v>
      </c>
      <c r="BY31" s="75" t="s">
        <v>3025</v>
      </c>
      <c r="BZ31" s="75" t="s">
        <v>3015</v>
      </c>
      <c r="CA31" s="75" t="s">
        <v>3022</v>
      </c>
      <c r="CB31" s="75" t="s">
        <v>702</v>
      </c>
      <c r="CC31" s="75" t="s">
        <v>3027</v>
      </c>
      <c r="CD31" s="75" t="s">
        <v>3023</v>
      </c>
      <c r="CE31" s="75" t="s">
        <v>3024</v>
      </c>
      <c r="CF31" s="75" t="s">
        <v>3026</v>
      </c>
      <c r="CG31" s="75" t="s">
        <v>1578</v>
      </c>
      <c r="CH31" s="75" t="s">
        <v>3028</v>
      </c>
      <c r="CI31" s="75" t="s">
        <v>3021</v>
      </c>
      <c r="CJ31" s="75"/>
      <c r="CK31" s="107"/>
      <c r="CL31" s="75" t="s">
        <v>1563</v>
      </c>
      <c r="CM31" s="75" t="s">
        <v>3025</v>
      </c>
      <c r="CN31" s="75" t="s">
        <v>3015</v>
      </c>
      <c r="CO31" s="75" t="s">
        <v>3022</v>
      </c>
      <c r="CP31" s="75" t="s">
        <v>702</v>
      </c>
      <c r="CQ31" s="75" t="s">
        <v>3027</v>
      </c>
      <c r="CR31" s="75" t="s">
        <v>3023</v>
      </c>
      <c r="CS31" s="75" t="s">
        <v>3024</v>
      </c>
      <c r="CT31" s="75" t="s">
        <v>3026</v>
      </c>
      <c r="CU31" s="75" t="s">
        <v>1578</v>
      </c>
      <c r="CV31" s="75" t="s">
        <v>3028</v>
      </c>
      <c r="CW31" s="75" t="s">
        <v>3021</v>
      </c>
      <c r="CX31" s="75"/>
      <c r="CY31" s="107"/>
      <c r="CZ31" s="75" t="s">
        <v>1563</v>
      </c>
      <c r="DA31" s="75" t="s">
        <v>3025</v>
      </c>
      <c r="DB31" s="75" t="s">
        <v>3015</v>
      </c>
      <c r="DC31" s="75" t="s">
        <v>3022</v>
      </c>
      <c r="DD31" s="75" t="s">
        <v>702</v>
      </c>
      <c r="DE31" s="75" t="s">
        <v>3027</v>
      </c>
      <c r="DF31" s="75" t="s">
        <v>3023</v>
      </c>
      <c r="DG31" s="75" t="s">
        <v>3024</v>
      </c>
      <c r="DH31" s="75" t="s">
        <v>3026</v>
      </c>
      <c r="DI31" s="75" t="s">
        <v>1578</v>
      </c>
      <c r="DJ31" s="75" t="s">
        <v>3028</v>
      </c>
      <c r="DK31" s="75" t="s">
        <v>3021</v>
      </c>
      <c r="DL31" s="75"/>
      <c r="DM31" s="107"/>
      <c r="DN31" s="75" t="s">
        <v>1563</v>
      </c>
      <c r="DO31" s="75" t="s">
        <v>3025</v>
      </c>
      <c r="DP31" s="75" t="s">
        <v>3015</v>
      </c>
      <c r="DQ31" s="75" t="s">
        <v>3022</v>
      </c>
      <c r="DR31" s="75" t="s">
        <v>702</v>
      </c>
      <c r="DS31" s="75" t="s">
        <v>3027</v>
      </c>
      <c r="DT31" s="75" t="s">
        <v>3023</v>
      </c>
      <c r="DU31" s="75" t="s">
        <v>3024</v>
      </c>
      <c r="DV31" s="75" t="s">
        <v>3026</v>
      </c>
      <c r="DW31" s="75" t="s">
        <v>1578</v>
      </c>
      <c r="DX31" s="75" t="s">
        <v>3028</v>
      </c>
      <c r="DY31" s="75" t="s">
        <v>3021</v>
      </c>
      <c r="DZ31" s="75"/>
      <c r="EA31" s="107"/>
      <c r="EB31" s="75" t="s">
        <v>1563</v>
      </c>
      <c r="EC31" s="75" t="s">
        <v>3025</v>
      </c>
      <c r="ED31" s="75" t="s">
        <v>3015</v>
      </c>
      <c r="EE31" s="75" t="s">
        <v>3022</v>
      </c>
      <c r="EF31" s="75" t="s">
        <v>702</v>
      </c>
      <c r="EG31" s="75" t="s">
        <v>3027</v>
      </c>
      <c r="EH31" s="75" t="s">
        <v>3023</v>
      </c>
      <c r="EI31" s="75" t="s">
        <v>3024</v>
      </c>
      <c r="EJ31" s="75" t="s">
        <v>3026</v>
      </c>
      <c r="EK31" s="75" t="s">
        <v>1578</v>
      </c>
      <c r="EL31" s="75" t="s">
        <v>3028</v>
      </c>
      <c r="EM31" s="75" t="s">
        <v>3021</v>
      </c>
      <c r="EN31" s="107"/>
      <c r="EO31" s="107"/>
    </row>
    <row r="32" spans="1:145" ht="32.1" customHeight="1">
      <c r="A32" s="187"/>
      <c r="B32" s="197" t="str">
        <f>VLOOKUP("lfm",Sprachindex!A:Z,Info!$O$6,FALSE)</f>
        <v>lfm</v>
      </c>
      <c r="C32" s="188"/>
      <c r="D32" s="136">
        <f>IF(AND($N$23=1,J32=Formeln!E167),AF32,IF(AND($N$23=2,J32=Formeln!E167),AT32,IF(AND($N$23=3,J32=Formeln!E167),BH32,IF(AND($N$23=4,J32=Formeln!E167),BV32,IF(AND($N$23=1,J32=Formeln!E168),CJ32,IF(AND($N$23=2,J32=Formeln!E168),CX32,IF(AND($N$23=3,J32=Formeln!E168),DL32,IF(AND($N$23=4,J32=Formeln!E168),DZ32,0))))))))</f>
        <v>0</v>
      </c>
      <c r="E32" s="322" t="str">
        <f>VLOOKUP("PREFA Aluminium Dachrinne mit Schutzfolie aussen",Sprachindex!A:Z,Info!$O$6,FALSE)</f>
        <v>PREFA Aluminium Dachrinne mit Schutzfolie aussen</v>
      </c>
      <c r="F32" s="323"/>
      <c r="G32" s="323"/>
      <c r="H32" s="323"/>
      <c r="I32" s="190" t="str">
        <f>VLOOKUP("Länge wählen:",Sprachindex!A:Z,Info!$O$6,FALSE)</f>
        <v>Länge wählen:</v>
      </c>
      <c r="J32" s="269"/>
      <c r="K32" s="270"/>
      <c r="L32" s="137" t="str">
        <f t="shared" ref="L32:L64" si="0">IF(A32=0,"",IF($N$10=1,P32,Q32))</f>
        <v/>
      </c>
      <c r="M32" s="183"/>
      <c r="N32" s="124"/>
      <c r="O32" s="1"/>
      <c r="P32" s="11"/>
      <c r="Q32" s="11" t="str">
        <f>IF(J32=Formeln!E167,ROUNDUP(A32/3,0)*3 &amp;" " &amp; VLOOKUP("lfm",Sprachindex!A:Z,Info!$O$6,FALSE),IF(J32=Formeln!E168,ROUNDUP(A32/6,0)*6 &amp;" " &amp; VLOOKUP("lfm",Sprachindex!A:Z,Info!$O$6,FALSE),""))</f>
        <v>0 lfm</v>
      </c>
      <c r="R32" s="11"/>
      <c r="T32" s="95">
        <v>572213</v>
      </c>
      <c r="U32" s="95">
        <v>572219</v>
      </c>
      <c r="V32" s="95">
        <v>572212</v>
      </c>
      <c r="W32" s="95">
        <v>572241</v>
      </c>
      <c r="X32" s="95">
        <v>572216</v>
      </c>
      <c r="Y32" s="95">
        <v>572217</v>
      </c>
      <c r="Z32" s="95">
        <v>572223</v>
      </c>
      <c r="AA32" s="95">
        <v>572240</v>
      </c>
      <c r="AB32" s="95">
        <v>572249</v>
      </c>
      <c r="AC32" s="95">
        <v>572254</v>
      </c>
      <c r="AD32" s="95">
        <v>572251</v>
      </c>
      <c r="AE32" s="103"/>
      <c r="AF32" s="107">
        <f>IF($N$20=1,V32,IF($N$20=2,X32,IF($N$20=3,AE32,IF($N$20=4,W32,IF($N$20=5,Z32,IF($N$20=6,AA32,IF($N$20=7,U32,IF($N$20=8,AB32,IF($N$20=9,Y32,IF($N$20=10,AD32,IF($N$20=11,AC32,IF($N$20=12,T32,0))))))))))))</f>
        <v>0</v>
      </c>
      <c r="AG32" s="107" t="s">
        <v>1584</v>
      </c>
      <c r="AH32" s="95">
        <v>572206</v>
      </c>
      <c r="AI32" s="95">
        <v>572203</v>
      </c>
      <c r="AJ32" s="95">
        <v>572208</v>
      </c>
      <c r="AK32" s="95">
        <v>572215</v>
      </c>
      <c r="AL32" s="95">
        <v>572220</v>
      </c>
      <c r="AM32" s="95">
        <v>572214</v>
      </c>
      <c r="AN32" s="95">
        <v>572224</v>
      </c>
      <c r="AO32" s="95">
        <v>572227</v>
      </c>
      <c r="AP32" s="95">
        <v>572229</v>
      </c>
      <c r="AQ32" s="95">
        <v>572255</v>
      </c>
      <c r="AR32" s="95">
        <v>572252</v>
      </c>
      <c r="AS32" s="103"/>
      <c r="AT32" s="107">
        <f>IF($N$20=1,AJ32,IF($N$20=2,AL32,IF($N$20=3,AS32,IF($N$20=4,AK32,IF($N$20=5,AN32,IF($N$20=6,AO32,IF($N$20=7,AI32,IF($N$20=8,AP32,IF($N$20=9,AM32,IF($N$20=10,AR32,IF($N$20=11,AQ32,IF($N$20=12,AH32,0))))))))))))</f>
        <v>0</v>
      </c>
      <c r="AU32" s="107" t="s">
        <v>1585</v>
      </c>
      <c r="AV32" s="95">
        <v>572201</v>
      </c>
      <c r="AW32" s="95">
        <v>572202</v>
      </c>
      <c r="AX32" s="95">
        <v>572207</v>
      </c>
      <c r="AY32" s="95">
        <v>572211</v>
      </c>
      <c r="AZ32" s="95">
        <v>572218</v>
      </c>
      <c r="BA32" s="95">
        <v>572221</v>
      </c>
      <c r="BB32" s="95">
        <v>572225</v>
      </c>
      <c r="BC32" s="95">
        <v>572228</v>
      </c>
      <c r="BD32" s="95">
        <v>572230</v>
      </c>
      <c r="BE32" s="95">
        <v>572250</v>
      </c>
      <c r="BF32" s="95">
        <v>572253</v>
      </c>
      <c r="BG32" s="103"/>
      <c r="BH32" s="107">
        <f>IF($N$20=1,AX32,IF($N$20=2,AZ32,IF($N$20=3,BG32,IF($N$20=4,AY32,IF($N$20=5,BB32,IF($N$20=6,BC32,IF($N$20=7,AW32,IF($N$20=8,BD32,IF($N$20=9,BA32,IF($N$20=10,BF32,IF($N$20=11,BE32,IF($N$20=12,AV32,0))))))))))))</f>
        <v>0</v>
      </c>
      <c r="BI32" s="107" t="s">
        <v>1586</v>
      </c>
      <c r="BJ32" s="95">
        <v>572205</v>
      </c>
      <c r="BK32" s="103"/>
      <c r="BL32" s="95">
        <v>572209</v>
      </c>
      <c r="BM32" s="103"/>
      <c r="BN32" s="95">
        <v>572210</v>
      </c>
      <c r="BO32" s="103"/>
      <c r="BP32" s="103"/>
      <c r="BQ32" s="103"/>
      <c r="BR32" s="103"/>
      <c r="BS32" s="103"/>
      <c r="BT32" s="103"/>
      <c r="BU32" s="103"/>
      <c r="BV32" s="107">
        <f>IF($N$20=1,BL32,IF($N$20=2,BN32,IF($N$20=3,BU32,IF($N$20=4,BM32,IF($N$20=5,BP32,IF($N$20=6,BQ32,IF($N$20=7,BK32,IF($N$20=8,BR32,IF($N$20=9,BO32,IF($N$20=10,BT32,IF($N$20=11,BS32,IF($N$20=12,BJ32,0))))))))))))</f>
        <v>0</v>
      </c>
      <c r="BW32" s="107" t="s">
        <v>1587</v>
      </c>
      <c r="BX32" s="95">
        <v>572013</v>
      </c>
      <c r="BY32" s="95">
        <v>572019</v>
      </c>
      <c r="BZ32" s="95">
        <v>572012</v>
      </c>
      <c r="CA32" s="95">
        <v>572041</v>
      </c>
      <c r="CB32" s="95">
        <v>572016</v>
      </c>
      <c r="CC32" s="95">
        <v>572017</v>
      </c>
      <c r="CD32" s="95">
        <v>572023</v>
      </c>
      <c r="CE32" s="95">
        <v>572040</v>
      </c>
      <c r="CF32" s="95">
        <v>572049</v>
      </c>
      <c r="CG32" s="95">
        <v>572055</v>
      </c>
      <c r="CH32" s="95">
        <v>572052</v>
      </c>
      <c r="CI32" s="103"/>
      <c r="CJ32" s="107">
        <f>IF($N$20=1,BZ32,IF($N$20=2,CB32,IF($N$20=3,CI32,IF($N$20=4,CA32,IF($N$20=5,CD32,IF($N$20=6,CE32,IF($N$20=7,BY32,IF($N$20=8,CF32,IF($N$20=9,CC32,IF($N$20=10,CH32,IF($N$20=11,CG32,IF($N$20=12,BX32,0))))))))))))</f>
        <v>0</v>
      </c>
      <c r="CK32" s="107" t="s">
        <v>1588</v>
      </c>
      <c r="CL32" s="95">
        <v>572006</v>
      </c>
      <c r="CM32" s="95">
        <v>572003</v>
      </c>
      <c r="CN32" s="95">
        <v>572008</v>
      </c>
      <c r="CO32" s="95">
        <v>572015</v>
      </c>
      <c r="CP32" s="95">
        <v>572020</v>
      </c>
      <c r="CQ32" s="95">
        <v>572014</v>
      </c>
      <c r="CR32" s="95">
        <v>572024</v>
      </c>
      <c r="CS32" s="95">
        <v>572027</v>
      </c>
      <c r="CT32" s="95">
        <v>572050</v>
      </c>
      <c r="CU32" s="95">
        <v>572056</v>
      </c>
      <c r="CV32" s="95">
        <v>572053</v>
      </c>
      <c r="CW32" s="103"/>
      <c r="CX32" s="107">
        <f>IF($N$20=1,CN32,IF($N$20=2,CP32,IF($N$20=3,CW32,IF($N$20=4,CO32,IF($N$20=5,CR32,IF($N$20=6,CS32,IF($N$20=7,CM32,IF($N$20=8,CT32,IF($N$20=9,CQ32,IF($N$20=10,CV32,IF($N$20=11,CU32,IF($N$20=12,CL32,0))))))))))))</f>
        <v>0</v>
      </c>
      <c r="CY32" s="107" t="s">
        <v>1589</v>
      </c>
      <c r="CZ32" s="95">
        <v>572001</v>
      </c>
      <c r="DA32" s="95">
        <v>572002</v>
      </c>
      <c r="DB32" s="95">
        <v>572007</v>
      </c>
      <c r="DC32" s="95">
        <v>572011</v>
      </c>
      <c r="DD32" s="95">
        <v>572018</v>
      </c>
      <c r="DE32" s="95">
        <v>572021</v>
      </c>
      <c r="DF32" s="95">
        <v>572025</v>
      </c>
      <c r="DG32" s="95">
        <v>572028</v>
      </c>
      <c r="DH32" s="95">
        <v>572030</v>
      </c>
      <c r="DI32" s="95">
        <v>572051</v>
      </c>
      <c r="DJ32" s="95">
        <v>572054</v>
      </c>
      <c r="DK32" s="103"/>
      <c r="DL32" s="107">
        <f>IF($N$20=1,DB32,IF($N$20=2,DD32,IF($N$20=3,DK32,IF($N$20=4,DC32,IF($N$20=5,DF32,IF($N$20=6,DG32,IF($N$20=7,DA32,IF($N$20=8,DH32,IF($N$20=9,DE32,IF($N$20=10,DJ32,IF($N$20=11,DI32,IF($N$20=12,CZ32,0))))))))))))</f>
        <v>0</v>
      </c>
      <c r="DM32" s="107" t="s">
        <v>1590</v>
      </c>
      <c r="DN32" s="95">
        <v>572005</v>
      </c>
      <c r="DO32" s="95">
        <v>572004</v>
      </c>
      <c r="DP32" s="95">
        <v>572009</v>
      </c>
      <c r="DQ32" s="103"/>
      <c r="DR32" s="95">
        <v>572010</v>
      </c>
      <c r="DS32" s="103"/>
      <c r="DT32" s="103"/>
      <c r="DU32" s="103"/>
      <c r="DV32" s="103"/>
      <c r="DW32" s="103"/>
      <c r="DX32" s="103"/>
      <c r="DY32" s="103"/>
      <c r="DZ32" s="107">
        <f>IF($N$20=1,DP32,IF($N$20=2,DR32,IF($N$20=3,DY32,IF($N$20=4,DQ32,IF($N$20=5,DT32,IF($N$20=6,DU32,IF($N$20=7,DO32,IF($N$20=8,DV32,IF($N$20=9,DS32,IF($N$20=10,DX32,IF($N$20=11,DW32,IF($N$20=12,DN32,0))))))))))))</f>
        <v>0</v>
      </c>
      <c r="EA32" s="107" t="s">
        <v>1591</v>
      </c>
      <c r="EN32" s="107"/>
      <c r="EO32" s="107"/>
    </row>
    <row r="33" spans="1:145" ht="32.1" customHeight="1">
      <c r="A33" s="187"/>
      <c r="B33" s="197" t="str">
        <f>VLOOKUP("STK",Sprachindex!A:Z,Info!$O$6,FALSE)</f>
        <v>STK</v>
      </c>
      <c r="C33" s="188"/>
      <c r="D33" s="136">
        <f>IF(AND($N$23=1,J33=Formeln!E172),AF33,IF(AND($N$23=2,J33=Formeln!E172),BH33,IF(AND($N$23=3,J33=Formeln!E172),CX33,IF(AND($N$23=4,J33=Formeln!E172),EN33,IF(AND($N$23=1,J33=Formeln!E173),AT33,IF(AND($N$23=2,J33=Formeln!E173),BV33,IF(AND($N$23=3,J33=Formeln!E173),DL33,IF(AND($N$23=2,J33=Formeln!E174),CJ33,IF(AND($N$23=3,J33=Formeln!E174),DZ33,0)))))))))</f>
        <v>0</v>
      </c>
      <c r="E33" s="324" t="str">
        <f>VLOOKUP("PREFA Rinnenhaken",Sprachindex!A:Z,Info!$O$6,FALSE)</f>
        <v>PREFA Rinnenhaken</v>
      </c>
      <c r="F33" s="325"/>
      <c r="G33" s="325"/>
      <c r="H33" s="325"/>
      <c r="I33" s="189" t="str">
        <f>VLOOKUP("Länge wählen:",Sprachindex!A:Z,Info!$O$6,FALSE)</f>
        <v>Länge wählen:</v>
      </c>
      <c r="J33" s="269"/>
      <c r="K33" s="270"/>
      <c r="L33" s="137" t="str">
        <f t="shared" si="0"/>
        <v/>
      </c>
      <c r="M33" s="183"/>
      <c r="N33" s="124"/>
      <c r="O33" s="1"/>
      <c r="P33" s="11"/>
      <c r="Q33" s="11" t="str">
        <f>A33 &amp;" " &amp; VLOOKUP("Stk",Sprachindex!A:Z,Info!$O$6,FALSE)</f>
        <v xml:space="preserve"> STK</v>
      </c>
      <c r="R33" s="11">
        <f>IF(OR(J33=VLOOKUP(333,Sprachindex!A:Z,Info!$O$6,FALSE) &amp; ", " &amp;VLOOKUP("lang",Sprachindex!A:Z,Info!$O$6,FALSE),N23=4),20,30)</f>
        <v>30</v>
      </c>
      <c r="T33" s="95">
        <v>521019</v>
      </c>
      <c r="U33" s="95">
        <v>521040</v>
      </c>
      <c r="V33" s="95">
        <v>521020</v>
      </c>
      <c r="W33" s="95">
        <v>521042</v>
      </c>
      <c r="X33" s="95">
        <v>521030</v>
      </c>
      <c r="Y33" s="95">
        <v>521031</v>
      </c>
      <c r="Z33" s="95">
        <v>521045</v>
      </c>
      <c r="AA33" s="95">
        <v>521041</v>
      </c>
      <c r="AB33" s="95">
        <v>521062</v>
      </c>
      <c r="AC33" s="95">
        <v>521068</v>
      </c>
      <c r="AD33" s="95">
        <v>521063</v>
      </c>
      <c r="AE33" s="103"/>
      <c r="AF33" s="107">
        <f>IF($N$20=1,V33,IF($N$20=2,X33,IF($N$20=3,AE33,IF($N$20=4,W33,IF($N$20=5,Z33,IF($N$20=6,AA33,IF($N$20=7,U33,IF($N$20=8,AB33,IF($N$20=9,Y33,IF($N$20=10,AD33,IF($N$20=11,AC33,IF($N$20=12,T33,0))))))))))))</f>
        <v>0</v>
      </c>
      <c r="AG33" s="108" t="s">
        <v>1593</v>
      </c>
      <c r="AH33" s="95">
        <v>521092</v>
      </c>
      <c r="AI33" s="95">
        <v>521242</v>
      </c>
      <c r="AJ33" s="95">
        <v>521240</v>
      </c>
      <c r="AK33" s="95">
        <v>521245</v>
      </c>
      <c r="AL33" s="95">
        <v>521241</v>
      </c>
      <c r="AM33" s="95">
        <v>521243</v>
      </c>
      <c r="AN33" s="95">
        <v>521246</v>
      </c>
      <c r="AO33" s="95">
        <v>521244</v>
      </c>
      <c r="AP33" s="95">
        <v>521247</v>
      </c>
      <c r="AQ33" s="95">
        <v>521250</v>
      </c>
      <c r="AR33" s="95">
        <v>521249</v>
      </c>
      <c r="AS33" s="103"/>
      <c r="AT33" s="107">
        <f>IF($N$20=1,AJ33,IF($N$20=2,AL33,IF($N$20=3,AS33,IF($N$20=4,AK33,IF($N$20=5,AN33,IF($N$20=6,AO33,IF($N$20=7,AI33,IF($N$20=8,AP33,IF($N$20=9,AM33,IF($N$20=10,AR33,IF($N$20=11,AQ33,IF($N$20=12,AH33,0))))))))))))</f>
        <v>0</v>
      </c>
      <c r="AU33" s="108" t="s">
        <v>1592</v>
      </c>
      <c r="AV33" s="95">
        <v>521005</v>
      </c>
      <c r="AW33" s="95">
        <v>521006</v>
      </c>
      <c r="AX33" s="95">
        <v>521010</v>
      </c>
      <c r="AY33" s="95">
        <v>521022</v>
      </c>
      <c r="AZ33" s="95">
        <v>521014</v>
      </c>
      <c r="BA33" s="95">
        <v>521021</v>
      </c>
      <c r="BB33" s="95">
        <v>521044</v>
      </c>
      <c r="BC33" s="95">
        <v>521023</v>
      </c>
      <c r="BD33" s="95">
        <v>521061</v>
      </c>
      <c r="BE33" s="95">
        <v>521069</v>
      </c>
      <c r="BF33" s="95">
        <v>521064</v>
      </c>
      <c r="BG33" s="103"/>
      <c r="BH33" s="107">
        <f>IF($N$20=1,AX33,IF($N$20=2,AZ33,IF($N$20=3,BG33,IF($N$20=4,AY33,IF($N$20=5,BB33,IF($N$20=6,BC33,IF($N$20=7,AW33,IF($N$20=8,BD33,IF($N$20=9,BA33,IF($N$20=10,BF33,IF($N$20=11,BE33,IF($N$20=12,AV33,0))))))))))))</f>
        <v>0</v>
      </c>
      <c r="BI33" s="108" t="s">
        <v>1594</v>
      </c>
      <c r="BJ33" s="95">
        <v>521091</v>
      </c>
      <c r="BK33" s="95">
        <v>521222</v>
      </c>
      <c r="BL33" s="95">
        <v>521220</v>
      </c>
      <c r="BM33" s="95">
        <v>521225</v>
      </c>
      <c r="BN33" s="95">
        <v>521221</v>
      </c>
      <c r="BO33" s="95">
        <v>521223</v>
      </c>
      <c r="BP33" s="95">
        <v>521226</v>
      </c>
      <c r="BQ33" s="95">
        <v>521224</v>
      </c>
      <c r="BR33" s="95">
        <v>521227</v>
      </c>
      <c r="BS33" s="95">
        <v>521230</v>
      </c>
      <c r="BT33" s="95">
        <v>521229</v>
      </c>
      <c r="BU33" s="103"/>
      <c r="BV33" s="107">
        <f>IF($N$20=1,BL33,IF($N$20=2,BN33,IF($N$20=3,BU33,IF($N$20=4,BM33,IF($N$20=5,BP33,IF($N$20=6,BQ33,IF($N$20=7,BK33,IF($N$20=8,BR33,IF($N$20=9,BO33,IF($N$20=10,BT33,IF($N$20=11,BS33,IF($N$20=12,BJ33,0))))))))))))</f>
        <v>0</v>
      </c>
      <c r="BW33" s="108" t="s">
        <v>1595</v>
      </c>
      <c r="BX33" s="95">
        <v>521050</v>
      </c>
      <c r="BY33" s="95">
        <v>521053</v>
      </c>
      <c r="BZ33" s="95">
        <v>521052</v>
      </c>
      <c r="CA33" s="95">
        <v>521056</v>
      </c>
      <c r="CB33" s="95">
        <v>521051</v>
      </c>
      <c r="CC33" s="95">
        <v>521054</v>
      </c>
      <c r="CD33" s="95">
        <v>521047</v>
      </c>
      <c r="CE33" s="95">
        <v>521055</v>
      </c>
      <c r="CF33" s="95">
        <v>521048</v>
      </c>
      <c r="CG33" s="95">
        <v>521070</v>
      </c>
      <c r="CH33" s="95">
        <v>521066</v>
      </c>
      <c r="CI33" s="103"/>
      <c r="CJ33" s="107">
        <f>IF($N$20=1,BZ33,IF($N$20=2,CB33,IF($N$20=3,CI33,IF($N$20=4,CA33,IF($N$20=5,CD33,IF($N$20=6,CE33,IF($N$20=7,BY33,IF($N$20=8,CF33,IF($N$20=9,CC33,IF($N$20=10,CH33,IF($N$20=11,CG33,IF($N$20=12,BX33,0))))))))))))</f>
        <v>0</v>
      </c>
      <c r="CK33" s="108" t="s">
        <v>1596</v>
      </c>
      <c r="CL33" s="95">
        <v>521001</v>
      </c>
      <c r="CM33" s="95">
        <v>521002</v>
      </c>
      <c r="CN33" s="95">
        <v>521009</v>
      </c>
      <c r="CO33" s="95">
        <v>521018</v>
      </c>
      <c r="CP33" s="95">
        <v>521012</v>
      </c>
      <c r="CQ33" s="95">
        <v>521017</v>
      </c>
      <c r="CR33" s="95">
        <v>521043</v>
      </c>
      <c r="CS33" s="95">
        <v>521024</v>
      </c>
      <c r="CT33" s="95">
        <v>521032</v>
      </c>
      <c r="CU33" s="95">
        <v>521211</v>
      </c>
      <c r="CV33" s="95">
        <v>521065</v>
      </c>
      <c r="CX33" s="107">
        <f>IF($N$20=1,CN33,IF($N$20=2,CP33,IF($N$20=3,CW33,IF($N$20=4,CO33,IF($N$20=5,CR33,IF($N$20=6,CS33,IF($N$20=7,CM33,IF($N$20=8,CT33,IF($N$20=9,CQ33,IF($N$20=10,CV33,IF($N$20=11,CU33,IF($N$20=12,CL33,0))))))))))))</f>
        <v>0</v>
      </c>
      <c r="CY33" s="108" t="s">
        <v>1597</v>
      </c>
      <c r="CZ33" s="95">
        <v>521090</v>
      </c>
      <c r="DA33" s="95">
        <v>521202</v>
      </c>
      <c r="DB33" s="95">
        <v>521200</v>
      </c>
      <c r="DC33" s="95">
        <v>521205</v>
      </c>
      <c r="DD33" s="95">
        <v>521201</v>
      </c>
      <c r="DE33" s="95">
        <v>521203</v>
      </c>
      <c r="DF33" s="95">
        <v>521206</v>
      </c>
      <c r="DG33" s="95">
        <v>521204</v>
      </c>
      <c r="DH33" s="95">
        <v>521208</v>
      </c>
      <c r="DI33" s="95">
        <v>521213</v>
      </c>
      <c r="DJ33" s="95">
        <v>521214</v>
      </c>
      <c r="DK33" s="103"/>
      <c r="DL33" s="107">
        <f>IF($N$20=1,DB33,IF($N$20=2,DD33,IF($N$20=3,DK33,IF($N$20=4,DC33,IF($N$20=5,DF33,IF($N$20=6,DG33,IF($N$20=7,DA33,IF($N$20=8,DH33,IF($N$20=9,DE33,IF($N$20=10,DJ33,IF($N$20=11,DI33,IF($N$20=12,CZ33,0))))))))))))</f>
        <v>0</v>
      </c>
      <c r="DM33" s="108" t="s">
        <v>1598</v>
      </c>
      <c r="DN33" s="95">
        <v>521007</v>
      </c>
      <c r="DO33" s="95">
        <v>521008</v>
      </c>
      <c r="DP33" s="95">
        <v>521011</v>
      </c>
      <c r="DQ33" s="95">
        <v>521026</v>
      </c>
      <c r="DR33" s="95">
        <v>521013</v>
      </c>
      <c r="DS33" s="95">
        <v>521027</v>
      </c>
      <c r="DT33" s="95">
        <v>521046</v>
      </c>
      <c r="DU33" s="95">
        <v>521025</v>
      </c>
      <c r="DV33" s="95">
        <v>521033</v>
      </c>
      <c r="DW33" s="95">
        <v>521212</v>
      </c>
      <c r="DX33" s="95">
        <v>521067</v>
      </c>
      <c r="DY33" s="103"/>
      <c r="DZ33" s="107">
        <f>IF($N$20=1,DP33,IF($N$20=2,DR33,IF($N$20=3,DY33,IF($N$20=4,DQ33,IF($N$20=5,DT33,IF($N$20=6,DU33,IF($N$20=7,DO33,IF($N$20=8,DV33,IF($N$20=9,DS33,IF($N$20=10,DX33,IF($N$20=11,DW33,IF($N$20=12,DN33,0))))))))))))</f>
        <v>0</v>
      </c>
      <c r="EA33" s="108" t="s">
        <v>1599</v>
      </c>
      <c r="EB33" s="95">
        <v>521003</v>
      </c>
      <c r="EC33" s="95">
        <v>521004</v>
      </c>
      <c r="ED33" s="95">
        <v>521015</v>
      </c>
      <c r="EE33" s="103"/>
      <c r="EF33" s="95">
        <v>521016</v>
      </c>
      <c r="EG33" s="103"/>
      <c r="EH33" s="103"/>
      <c r="EI33" s="103"/>
      <c r="EJ33" s="103"/>
      <c r="EK33" s="103"/>
      <c r="EL33" s="103"/>
      <c r="EM33" s="103"/>
      <c r="EN33" s="107">
        <f>IF($N$20=1,ED33,IF($N$20=2,EF33,IF($N$20=3,EM33,IF($N$20=4,EE33,IF($N$20=5,EH33,IF($N$20=6,EI33,IF($N$20=7,EC33,IF($N$20=8,EJ33,IF($N$20=9,EG33,IF($N$20=10,EL33,IF($N$20=11,EK33,IF($N$20=12,EB33,0))))))))))))</f>
        <v>0</v>
      </c>
      <c r="EO33" s="108" t="s">
        <v>1600</v>
      </c>
    </row>
    <row r="34" spans="1:145" ht="32.1" customHeight="1">
      <c r="A34" s="191"/>
      <c r="B34" s="210" t="str">
        <f>VLOOKUP("STK",Sprachindex!A:Z,Info!$O$6,FALSE)</f>
        <v>STK</v>
      </c>
      <c r="C34" s="193"/>
      <c r="D34" s="193">
        <f>IF(N23=2,AF34,IF(N23=3,AT34,0))</f>
        <v>0</v>
      </c>
      <c r="E34" s="326" t="str">
        <f>VLOOKUP("PREFA Stirnbretthaken für Dachrinnen",Sprachindex!A:Z,Info!$O$6,FALSE)</f>
        <v>PREFA Stirnbretthaken für Dachrinnen</v>
      </c>
      <c r="F34" s="327"/>
      <c r="G34" s="327"/>
      <c r="H34" s="327"/>
      <c r="I34" s="327"/>
      <c r="J34" s="334" t="str">
        <f>IF(N23=0,"",IF(N23=2,G25,IF(N23=3,G26,Formeln!A181)))</f>
        <v/>
      </c>
      <c r="K34" s="335"/>
      <c r="L34" s="194" t="str">
        <f t="shared" si="0"/>
        <v/>
      </c>
      <c r="M34" s="195"/>
      <c r="N34" s="124"/>
      <c r="O34" s="1"/>
      <c r="P34" s="11"/>
      <c r="Q34" s="11" t="str">
        <f>A34 &amp;" " &amp; VLOOKUP("Stk",Sprachindex!A:Z,Info!$O$6,FALSE)</f>
        <v xml:space="preserve"> STK</v>
      </c>
      <c r="R34" s="11"/>
      <c r="T34" s="95">
        <v>521501</v>
      </c>
      <c r="U34" s="95">
        <v>521522</v>
      </c>
      <c r="V34" s="95">
        <v>521520</v>
      </c>
      <c r="W34" s="95">
        <v>521525</v>
      </c>
      <c r="X34" s="95">
        <v>521521</v>
      </c>
      <c r="Y34" s="95">
        <v>521523</v>
      </c>
      <c r="Z34" s="95">
        <v>521526</v>
      </c>
      <c r="AA34" s="95">
        <v>521524</v>
      </c>
      <c r="AB34" s="95">
        <v>521528</v>
      </c>
      <c r="AC34" s="95">
        <v>521530</v>
      </c>
      <c r="AD34" s="95">
        <v>521529</v>
      </c>
      <c r="AE34" s="103"/>
      <c r="AF34" s="107">
        <f>IF($N$20=1,V34,IF($N$20=2,X34,IF($N$20=3,AE34,IF($N$20=4,W34,IF($N$20=5,Z34,IF($N$20=6,AA34,IF($N$20=7,U34,IF($N$20=8,AB34,IF($N$20=9,Y34,IF($N$20=10,AD34,IF($N$20=11,AC34,IF($N$20=12,T34,0))))))))))))</f>
        <v>0</v>
      </c>
      <c r="AG34" s="108" t="s">
        <v>2312</v>
      </c>
      <c r="AH34" s="95">
        <v>521502</v>
      </c>
      <c r="AI34" s="95">
        <v>521537</v>
      </c>
      <c r="AJ34" s="95">
        <v>521535</v>
      </c>
      <c r="AK34" s="95">
        <v>521540</v>
      </c>
      <c r="AL34" s="95">
        <v>521536</v>
      </c>
      <c r="AM34" s="95">
        <v>521538</v>
      </c>
      <c r="AN34" s="95">
        <v>521541</v>
      </c>
      <c r="AO34" s="95">
        <v>521539</v>
      </c>
      <c r="AP34" s="95">
        <v>521544</v>
      </c>
      <c r="AQ34" s="95">
        <v>521546</v>
      </c>
      <c r="AR34" s="95">
        <v>521547</v>
      </c>
      <c r="AS34" s="103"/>
      <c r="AT34" s="107">
        <f>IF($N$20=1,AJ34,IF($N$20=2,AL34,IF($N$20=3,AS34,IF($N$20=4,AK34,IF($N$20=5,AN34,IF($N$20=6,AO34,IF($N$20=7,AI34,IF($N$20=8,AP34,IF($N$20=9,AM34,IF($N$20=10,AR34,IF($N$20=11,AQ34,IF($N$20=12,AH34,0))))))))))))</f>
        <v>0</v>
      </c>
      <c r="AU34" s="108" t="s">
        <v>2313</v>
      </c>
    </row>
    <row r="35" spans="1:145" ht="32.1" customHeight="1">
      <c r="A35" s="191"/>
      <c r="B35" s="210" t="str">
        <f>VLOOKUP("STK",Sprachindex!A:Z,Info!$O$6,FALSE)</f>
        <v>STK</v>
      </c>
      <c r="C35" s="192"/>
      <c r="D35" s="192">
        <f>IF(AND(N23=3,J35=Formeln!E183),AF35,IF(AND(N23=3,J35=Formeln!E184),AT35,0))</f>
        <v>0</v>
      </c>
      <c r="E35" s="326" t="str">
        <f>VLOOKUP("PREFA Rinnenhaken Hochkant",Sprachindex!A:Z,Info!$O$6,FALSE)</f>
        <v>PREFA Rinnenhaken Hochkant</v>
      </c>
      <c r="F35" s="327"/>
      <c r="G35" s="327"/>
      <c r="H35" s="327"/>
      <c r="I35" s="196" t="str">
        <f>VLOOKUP("Länge wählen:",Sprachindex!A:Z,Info!$O$6,FALSE)</f>
        <v>Länge wählen:</v>
      </c>
      <c r="J35" s="269"/>
      <c r="K35" s="270"/>
      <c r="L35" s="194" t="str">
        <f t="shared" si="0"/>
        <v/>
      </c>
      <c r="M35" s="195"/>
      <c r="N35" s="124"/>
      <c r="O35" s="1"/>
      <c r="P35" s="11"/>
      <c r="Q35" s="11" t="str">
        <f>A35 &amp;" " &amp; VLOOKUP("Stk",Sprachindex!A:Z,Info!$O$6,FALSE)</f>
        <v xml:space="preserve"> STK</v>
      </c>
      <c r="R35" s="11"/>
      <c r="T35" s="95">
        <v>522001</v>
      </c>
      <c r="U35" s="95">
        <v>522002</v>
      </c>
      <c r="V35" s="95">
        <v>522003</v>
      </c>
      <c r="W35" s="95">
        <v>522008</v>
      </c>
      <c r="X35" s="95">
        <v>522004</v>
      </c>
      <c r="Y35" s="95">
        <v>522007</v>
      </c>
      <c r="Z35" s="95">
        <v>522005</v>
      </c>
      <c r="AA35" s="95">
        <v>522009</v>
      </c>
      <c r="AB35" s="95">
        <v>522010</v>
      </c>
      <c r="AC35" s="95">
        <v>522014</v>
      </c>
      <c r="AD35" s="95">
        <v>522015</v>
      </c>
      <c r="AE35" s="103"/>
      <c r="AF35" s="107">
        <f>IF($N$20=1,V35,IF($N$20=2,X35,IF($N$20=3,AE35,IF($N$20=4,W35,IF($N$20=5,Z35,IF($N$20=6,AA35,IF($N$20=7,U35,IF($N$20=8,AB35,IF($N$20=9,Y35,IF($N$20=10,AD35,IF($N$20=11,AC35,IF($N$20=12,T35,0))))))))))))</f>
        <v>0</v>
      </c>
      <c r="AG35" s="108" t="s">
        <v>2314</v>
      </c>
      <c r="AH35" s="95">
        <v>522020</v>
      </c>
      <c r="AI35" s="103"/>
      <c r="AJ35" s="95">
        <v>522022</v>
      </c>
      <c r="AK35" s="103"/>
      <c r="AL35" s="95">
        <v>522021</v>
      </c>
      <c r="AM35" s="103"/>
      <c r="AN35" s="103"/>
      <c r="AO35" s="103"/>
      <c r="AP35" s="103"/>
      <c r="AQ35" s="103"/>
      <c r="AR35" s="103"/>
      <c r="AS35" s="103"/>
      <c r="AT35" s="107">
        <f>IF($N$20=1,AJ35,IF($N$20=2,AL35,IF($N$20=3,AS35,IF($N$20=4,AK35,IF($N$20=5,AN35,IF($N$20=6,AO35,IF($N$20=7,AI35,IF($N$20=8,AP35,IF($N$20=9,AM35,IF($N$20=10,AR35,IF($N$20=11,AQ35,IF($N$20=12,AH35,0))))))))))))</f>
        <v>0</v>
      </c>
      <c r="AU35" s="108" t="s">
        <v>2314</v>
      </c>
    </row>
    <row r="36" spans="1:145" ht="32.1" customHeight="1">
      <c r="A36" s="191"/>
      <c r="B36" s="210" t="str">
        <f>VLOOKUP("STK",Sprachindex!A:Z,Info!$O$6,FALSE)</f>
        <v>STK</v>
      </c>
      <c r="C36" s="192"/>
      <c r="D36" s="192">
        <f>IF(N23=3,AF36,0)</f>
        <v>0</v>
      </c>
      <c r="E36" s="326" t="str">
        <f>VLOOKUP("PREFA Rinnenhaken Schweiz",Sprachindex!A:Z,Info!$O$6,FALSE)</f>
        <v>PREFA Rinnenhaken Schweiz</v>
      </c>
      <c r="F36" s="327"/>
      <c r="G36" s="327"/>
      <c r="H36" s="327"/>
      <c r="I36" s="196" t="str">
        <f>VLOOKUP("Länge wählen:",Sprachindex!A:Z,Info!$O$6,FALSE)</f>
        <v>Länge wählen:</v>
      </c>
      <c r="J36" s="269"/>
      <c r="K36" s="270"/>
      <c r="L36" s="194" t="str">
        <f t="shared" si="0"/>
        <v/>
      </c>
      <c r="M36" s="195"/>
      <c r="N36" s="124"/>
      <c r="O36" s="1"/>
      <c r="P36" s="11"/>
      <c r="Q36" s="11" t="str">
        <f>A36 &amp;" " &amp; VLOOKUP("Stk",Sprachindex!A:Z,Info!$O$6,FALSE)</f>
        <v xml:space="preserve"> STK</v>
      </c>
      <c r="R36" s="11"/>
      <c r="T36" s="95">
        <v>522050</v>
      </c>
      <c r="U36" s="95">
        <v>522053</v>
      </c>
      <c r="V36" s="95">
        <v>522051</v>
      </c>
      <c r="W36" s="103"/>
      <c r="X36" s="95">
        <v>522052</v>
      </c>
      <c r="Y36" s="103"/>
      <c r="Z36" s="103"/>
      <c r="AA36" s="103"/>
      <c r="AB36" s="103"/>
      <c r="AC36" s="103"/>
      <c r="AD36" s="103"/>
      <c r="AE36" s="103"/>
      <c r="AF36" s="107">
        <f>IF($N$20=1,V36,IF($N$20=2,X36,IF($N$20=3,AE36,IF($N$20=4,W36,IF($N$20=5,Z36,IF($N$20=6,AA36,IF($N$20=7,U36,IF($N$20=8,AB36,IF($N$20=9,Y36,IF($N$20=10,AD36,IF($N$20=11,AC36,IF($N$20=12,T36,0))))))))))))</f>
        <v>0</v>
      </c>
      <c r="AG36" s="108" t="s">
        <v>2314</v>
      </c>
    </row>
    <row r="37" spans="1:145" ht="32.1" customHeight="1">
      <c r="A37" s="187"/>
      <c r="B37" s="197" t="str">
        <f>VLOOKUP("kg",Sprachindex!A:Z,Info!$O$6,FALSE)</f>
        <v>kg</v>
      </c>
      <c r="C37" s="136"/>
      <c r="D37" s="136">
        <v>350670</v>
      </c>
      <c r="E37" s="283" t="str">
        <f>VLOOKUP("PREFA Rinnenhaken-Nagel 5,0 × 80",Sprachindex!A:Z,Info!$O$6,FALSE)</f>
        <v>PREFA Rinnenhaken-Nagel 5,0 × 80</v>
      </c>
      <c r="F37" s="284"/>
      <c r="G37" s="284"/>
      <c r="H37" s="284"/>
      <c r="I37" s="284"/>
      <c r="J37" s="320" t="str">
        <f>VLOOKUP("5,0 × 80 mm",Sprachindex!A:Z,Info!$O$6,FALSE)</f>
        <v>5,0 × 80 mm</v>
      </c>
      <c r="K37" s="321"/>
      <c r="L37" s="137" t="str">
        <f t="shared" si="0"/>
        <v/>
      </c>
      <c r="M37" s="183"/>
      <c r="N37" s="124"/>
      <c r="O37" s="1"/>
      <c r="P37" s="11"/>
      <c r="Q37" s="11" t="str">
        <f>A37 &amp;" " &amp; VLOOKUP("kg",Sprachindex!A:Z,Info!$O$6,FALSE) &amp; "                                  ~ " &amp; ROUNDUP(A37/1,0)*1*80 &amp; " " &amp; VLOOKUP("Stk",Sprachindex!A:Z,Info!$O$6,FALSE)</f>
        <v xml:space="preserve"> kg                                  ~ 0 STK</v>
      </c>
      <c r="R37" s="11"/>
      <c r="T37" s="75" t="s">
        <v>1563</v>
      </c>
      <c r="U37" s="75" t="s">
        <v>3025</v>
      </c>
      <c r="V37" s="75" t="s">
        <v>3015</v>
      </c>
      <c r="W37" s="75" t="s">
        <v>3022</v>
      </c>
      <c r="X37" s="75" t="s">
        <v>702</v>
      </c>
      <c r="Y37" s="75" t="s">
        <v>3027</v>
      </c>
      <c r="Z37" s="75" t="s">
        <v>3023</v>
      </c>
      <c r="AA37" s="75" t="s">
        <v>3024</v>
      </c>
      <c r="AB37" s="75" t="s">
        <v>3026</v>
      </c>
      <c r="AC37" s="75" t="s">
        <v>1578</v>
      </c>
      <c r="AD37" s="75" t="s">
        <v>3028</v>
      </c>
      <c r="AE37" s="75" t="s">
        <v>3021</v>
      </c>
      <c r="AF37" s="75"/>
      <c r="AG37" s="107"/>
      <c r="AH37" s="75" t="s">
        <v>1563</v>
      </c>
      <c r="AI37" s="75" t="s">
        <v>3025</v>
      </c>
      <c r="AJ37" s="75" t="s">
        <v>3015</v>
      </c>
      <c r="AK37" s="75" t="s">
        <v>3022</v>
      </c>
      <c r="AL37" s="75" t="s">
        <v>702</v>
      </c>
      <c r="AM37" s="75" t="s">
        <v>3027</v>
      </c>
      <c r="AN37" s="75" t="s">
        <v>3023</v>
      </c>
      <c r="AO37" s="75" t="s">
        <v>3024</v>
      </c>
      <c r="AP37" s="75" t="s">
        <v>3026</v>
      </c>
      <c r="AQ37" s="75" t="s">
        <v>1578</v>
      </c>
      <c r="AR37" s="75" t="s">
        <v>3028</v>
      </c>
      <c r="AS37" s="75" t="s">
        <v>3021</v>
      </c>
      <c r="AT37" s="75"/>
      <c r="AU37" s="107"/>
      <c r="AV37" s="75" t="s">
        <v>1563</v>
      </c>
      <c r="AW37" s="75" t="s">
        <v>3025</v>
      </c>
      <c r="AX37" s="75" t="s">
        <v>3015</v>
      </c>
      <c r="AY37" s="75" t="s">
        <v>3022</v>
      </c>
      <c r="AZ37" s="75" t="s">
        <v>702</v>
      </c>
      <c r="BA37" s="75" t="s">
        <v>3027</v>
      </c>
      <c r="BB37" s="75" t="s">
        <v>3023</v>
      </c>
      <c r="BC37" s="75" t="s">
        <v>3024</v>
      </c>
      <c r="BD37" s="75" t="s">
        <v>3026</v>
      </c>
      <c r="BE37" s="75" t="s">
        <v>1578</v>
      </c>
      <c r="BF37" s="75" t="s">
        <v>3028</v>
      </c>
      <c r="BG37" s="75" t="s">
        <v>3021</v>
      </c>
      <c r="BH37" s="75"/>
      <c r="BI37" s="107"/>
      <c r="BJ37" s="75" t="s">
        <v>1563</v>
      </c>
      <c r="BK37" s="75" t="s">
        <v>3025</v>
      </c>
      <c r="BL37" s="75" t="s">
        <v>3015</v>
      </c>
      <c r="BM37" s="75" t="s">
        <v>3022</v>
      </c>
      <c r="BN37" s="75" t="s">
        <v>702</v>
      </c>
      <c r="BO37" s="75" t="s">
        <v>3027</v>
      </c>
      <c r="BP37" s="75" t="s">
        <v>3023</v>
      </c>
      <c r="BQ37" s="75" t="s">
        <v>3024</v>
      </c>
      <c r="BR37" s="75" t="s">
        <v>3026</v>
      </c>
      <c r="BS37" s="75" t="s">
        <v>1578</v>
      </c>
      <c r="BT37" s="75" t="s">
        <v>3028</v>
      </c>
      <c r="BU37" s="75" t="s">
        <v>3021</v>
      </c>
      <c r="BV37" s="75"/>
      <c r="BW37" s="107"/>
      <c r="BX37" s="75" t="s">
        <v>1563</v>
      </c>
      <c r="BY37" s="75" t="s">
        <v>3025</v>
      </c>
      <c r="BZ37" s="75" t="s">
        <v>3015</v>
      </c>
      <c r="CA37" s="75" t="s">
        <v>3022</v>
      </c>
      <c r="CB37" s="75" t="s">
        <v>702</v>
      </c>
      <c r="CC37" s="75" t="s">
        <v>3027</v>
      </c>
      <c r="CD37" s="75" t="s">
        <v>3023</v>
      </c>
      <c r="CE37" s="75" t="s">
        <v>3024</v>
      </c>
      <c r="CF37" s="75" t="s">
        <v>3026</v>
      </c>
      <c r="CG37" s="75" t="s">
        <v>1578</v>
      </c>
      <c r="CH37" s="75" t="s">
        <v>3028</v>
      </c>
      <c r="CI37" s="75" t="s">
        <v>3021</v>
      </c>
      <c r="CJ37" s="75"/>
      <c r="CK37" s="107"/>
      <c r="CL37" s="75" t="s">
        <v>1563</v>
      </c>
      <c r="CM37" s="75" t="s">
        <v>3025</v>
      </c>
      <c r="CN37" s="75" t="s">
        <v>3015</v>
      </c>
      <c r="CO37" s="75" t="s">
        <v>3022</v>
      </c>
      <c r="CP37" s="75" t="s">
        <v>702</v>
      </c>
      <c r="CQ37" s="75" t="s">
        <v>3027</v>
      </c>
      <c r="CR37" s="75" t="s">
        <v>3023</v>
      </c>
      <c r="CS37" s="75" t="s">
        <v>3024</v>
      </c>
      <c r="CT37" s="75" t="s">
        <v>3026</v>
      </c>
      <c r="CU37" s="75" t="s">
        <v>1578</v>
      </c>
      <c r="CV37" s="75" t="s">
        <v>3028</v>
      </c>
      <c r="CW37" s="75" t="s">
        <v>3021</v>
      </c>
      <c r="CX37" s="75"/>
      <c r="CY37" s="107"/>
      <c r="CZ37" s="75" t="s">
        <v>1563</v>
      </c>
      <c r="DA37" s="75" t="s">
        <v>3025</v>
      </c>
      <c r="DB37" s="75" t="s">
        <v>3015</v>
      </c>
      <c r="DC37" s="75" t="s">
        <v>3022</v>
      </c>
      <c r="DD37" s="75" t="s">
        <v>702</v>
      </c>
      <c r="DE37" s="75" t="s">
        <v>3027</v>
      </c>
      <c r="DF37" s="75" t="s">
        <v>3023</v>
      </c>
      <c r="DG37" s="75" t="s">
        <v>3024</v>
      </c>
      <c r="DH37" s="75" t="s">
        <v>3026</v>
      </c>
      <c r="DI37" s="75" t="s">
        <v>1578</v>
      </c>
      <c r="DJ37" s="75" t="s">
        <v>3028</v>
      </c>
      <c r="DK37" s="75" t="s">
        <v>3021</v>
      </c>
      <c r="DL37" s="75"/>
      <c r="DM37" s="107"/>
      <c r="DN37" s="75" t="s">
        <v>1563</v>
      </c>
      <c r="DO37" s="75" t="s">
        <v>3025</v>
      </c>
      <c r="DP37" s="75" t="s">
        <v>3015</v>
      </c>
      <c r="DQ37" s="75" t="s">
        <v>3022</v>
      </c>
      <c r="DR37" s="75" t="s">
        <v>702</v>
      </c>
      <c r="DS37" s="75" t="s">
        <v>3027</v>
      </c>
      <c r="DT37" s="75" t="s">
        <v>3023</v>
      </c>
      <c r="DU37" s="75" t="s">
        <v>3024</v>
      </c>
      <c r="DV37" s="75" t="s">
        <v>3026</v>
      </c>
      <c r="DW37" s="75" t="s">
        <v>1578</v>
      </c>
      <c r="DX37" s="75" t="s">
        <v>3028</v>
      </c>
      <c r="DY37" s="75" t="s">
        <v>3021</v>
      </c>
      <c r="DZ37" s="75"/>
      <c r="EA37" s="107"/>
    </row>
    <row r="38" spans="1:145" ht="32.1" customHeight="1">
      <c r="A38" s="187"/>
      <c r="B38" s="197" t="str">
        <f>VLOOKUP("STK",Sprachindex!A:Z,Info!$O$6,FALSE)</f>
        <v>STK</v>
      </c>
      <c r="C38" s="136"/>
      <c r="D38" s="136">
        <f>IF($N$23=1,AF38,IF($N$23=2,AT38,IF($N$23=3,BH38,IF($N$23=4,BV38,0))))</f>
        <v>0</v>
      </c>
      <c r="E38" s="283" t="str">
        <f>VLOOKUP("PREFA Rinnenendboden",Sprachindex!A:Z,Info!$O$6,FALSE)</f>
        <v>PREFA Rinnenendboden</v>
      </c>
      <c r="F38" s="284"/>
      <c r="G38" s="284"/>
      <c r="H38" s="284"/>
      <c r="I38" s="284"/>
      <c r="J38" s="320" t="str">
        <f>IF(N23=5,Formeln!A181,Formeln!A187)</f>
        <v/>
      </c>
      <c r="K38" s="321"/>
      <c r="L38" s="137" t="str">
        <f t="shared" si="0"/>
        <v/>
      </c>
      <c r="M38" s="183"/>
      <c r="N38" s="124"/>
      <c r="O38" s="1"/>
      <c r="P38" s="11"/>
      <c r="Q38" s="11" t="str">
        <f>A38 &amp;" " &amp; VLOOKUP("Stk",Sprachindex!A:Z,Info!$O$6,FALSE)</f>
        <v xml:space="preserve"> STK</v>
      </c>
      <c r="R38" s="11"/>
      <c r="T38" s="95">
        <v>517022</v>
      </c>
      <c r="U38" s="95">
        <v>517025</v>
      </c>
      <c r="V38" s="95">
        <v>517015</v>
      </c>
      <c r="W38" s="95">
        <v>517026</v>
      </c>
      <c r="X38" s="95">
        <v>517020</v>
      </c>
      <c r="Y38" s="95">
        <v>517021</v>
      </c>
      <c r="Z38" s="95">
        <v>517027</v>
      </c>
      <c r="AA38" s="95">
        <v>517024</v>
      </c>
      <c r="AB38" s="95">
        <v>517037</v>
      </c>
      <c r="AC38" s="95">
        <v>517043</v>
      </c>
      <c r="AD38" s="95">
        <v>517042</v>
      </c>
      <c r="AE38" s="103"/>
      <c r="AF38" s="107">
        <f>IF($N$20=1,V38,IF($N$20=2,X38,IF($N$20=3,AE38,IF($N$20=4,W38,IF($N$20=5,Z38,IF($N$20=6,AA38,IF($N$20=7,U38,IF($N$20=8,AB38,IF($N$20=9,Y38,IF($N$20=10,AD38,IF($N$20=11,AC38,IF($N$20=12,T38,0))))))))))))</f>
        <v>0</v>
      </c>
      <c r="AG38" s="107" t="s">
        <v>2315</v>
      </c>
      <c r="AH38" s="95">
        <v>517001</v>
      </c>
      <c r="AI38" s="95">
        <v>517004</v>
      </c>
      <c r="AJ38" s="95">
        <v>517003</v>
      </c>
      <c r="AK38" s="95">
        <v>517017</v>
      </c>
      <c r="AL38" s="95">
        <v>517005</v>
      </c>
      <c r="AM38" s="95">
        <v>517016</v>
      </c>
      <c r="AN38" s="95">
        <v>517028</v>
      </c>
      <c r="AO38" s="95">
        <v>517018</v>
      </c>
      <c r="AP38" s="95">
        <v>517038</v>
      </c>
      <c r="AQ38" s="95">
        <v>517044</v>
      </c>
      <c r="AR38" s="95">
        <v>517041</v>
      </c>
      <c r="AS38" s="103"/>
      <c r="AT38" s="107">
        <f>IF($N$20=1,AJ38,IF($N$20=2,AL38,IF($N$20=3,AS38,IF($N$20=4,AK38,IF($N$20=5,AN38,IF($N$20=6,AO38,IF($N$20=7,AI38,IF($N$20=8,AP38,IF($N$20=9,AM38,IF($N$20=10,AR38,IF($N$20=11,AQ38,IF($N$20=12,AH38,0))))))))))))</f>
        <v>0</v>
      </c>
      <c r="AU38" s="107" t="s">
        <v>2316</v>
      </c>
      <c r="AV38" s="95">
        <v>517006</v>
      </c>
      <c r="AW38" s="95">
        <v>517007</v>
      </c>
      <c r="AX38" s="95">
        <v>517002</v>
      </c>
      <c r="AY38" s="95">
        <v>517014</v>
      </c>
      <c r="AZ38" s="95">
        <v>517008</v>
      </c>
      <c r="BA38" s="95">
        <v>517013</v>
      </c>
      <c r="BB38" s="95">
        <v>517029</v>
      </c>
      <c r="BC38" s="95">
        <v>517019</v>
      </c>
      <c r="BD38" s="95">
        <v>517030</v>
      </c>
      <c r="BE38" s="95">
        <v>517039</v>
      </c>
      <c r="BF38" s="95">
        <v>517040</v>
      </c>
      <c r="BG38" s="103"/>
      <c r="BH38" s="107">
        <f>IF($N$20=1,AX38,IF($N$20=2,AZ38,IF($N$20=3,BG38,IF($N$20=4,AY38,IF($N$20=5,BB38,IF($N$20=6,BC38,IF($N$20=7,AW38,IF($N$20=8,BD38,IF($N$20=9,BA38,IF($N$20=10,BF38,IF($N$20=11,BE38,IF($N$20=12,AV38,0))))))))))))</f>
        <v>0</v>
      </c>
      <c r="BI38" s="107" t="s">
        <v>2317</v>
      </c>
      <c r="BJ38" s="95">
        <v>517009</v>
      </c>
      <c r="BK38" s="95">
        <v>517010</v>
      </c>
      <c r="BL38" s="95">
        <v>517011</v>
      </c>
      <c r="BM38" s="103"/>
      <c r="BN38" s="95">
        <v>517012</v>
      </c>
      <c r="BO38" s="103"/>
      <c r="BP38" s="103"/>
      <c r="BQ38" s="103"/>
      <c r="BR38" s="103"/>
      <c r="BS38" s="103"/>
      <c r="BT38" s="103"/>
      <c r="BU38" s="103"/>
      <c r="BV38" s="107">
        <f>IF($N$20=1,BL38,IF($N$20=2,BN38,IF($N$20=3,BU38,IF($N$20=4,BM38,IF($N$20=5,BP38,IF($N$20=6,BQ38,IF($N$20=7,BK38,IF($N$20=8,BR38,IF($N$20=9,BO38,IF($N$20=10,BT38,IF($N$20=11,BS38,IF($N$20=12,BJ38,0))))))))))))</f>
        <v>0</v>
      </c>
      <c r="BW38" s="107" t="s">
        <v>2318</v>
      </c>
    </row>
    <row r="39" spans="1:145" ht="32.1" customHeight="1">
      <c r="A39" s="187"/>
      <c r="B39" s="197" t="str">
        <f>VLOOKUP("STK",Sprachindex!A:Z,Info!$O$6,FALSE)</f>
        <v>STK</v>
      </c>
      <c r="C39" s="136"/>
      <c r="D39" s="136">
        <f>IF($N$23=1,AF39,IF($N$23=2,AT39,IF($N$23=3,BH39,IF($N$23=4,BV39,0))))</f>
        <v>0</v>
      </c>
      <c r="E39" s="283" t="str">
        <f>VLOOKUP("PREFA Kugelendboden",Sprachindex!A:Z,Info!$O$6,FALSE)</f>
        <v>PREFA Kugelendboden</v>
      </c>
      <c r="F39" s="284"/>
      <c r="G39" s="284"/>
      <c r="H39" s="284"/>
      <c r="I39" s="284"/>
      <c r="J39" s="320" t="str">
        <f>IF(N23=0,"",IF(N23=3,G26,Formeln!A181))</f>
        <v/>
      </c>
      <c r="K39" s="321"/>
      <c r="L39" s="137" t="str">
        <f t="shared" si="0"/>
        <v/>
      </c>
      <c r="M39" s="183"/>
      <c r="N39" s="124"/>
      <c r="O39" s="1"/>
      <c r="P39" s="11"/>
      <c r="Q39" s="11" t="str">
        <f>A39 &amp;" " &amp; VLOOKUP("Stk",Sprachindex!A:Z,Info!$O$6,FALSE)</f>
        <v xml:space="preserve"> STK</v>
      </c>
      <c r="R39" s="11"/>
      <c r="T39" s="95">
        <v>617004</v>
      </c>
      <c r="U39" s="95">
        <v>617006</v>
      </c>
      <c r="V39" s="95">
        <v>617007</v>
      </c>
      <c r="W39" s="103"/>
      <c r="X39" s="95">
        <v>617005</v>
      </c>
      <c r="Y39" s="103"/>
      <c r="Z39" s="103"/>
      <c r="AA39" s="103"/>
      <c r="AB39" s="103"/>
      <c r="AC39" s="103"/>
      <c r="AD39" s="103"/>
      <c r="AE39" s="103"/>
      <c r="AF39" s="107">
        <f>IF($N$20=1,V39,IF($N$20=2,X39,IF($N$20=3,AE39,IF($N$20=4,W39,IF($N$20=5,Z39,IF($N$20=6,AA39,IF($N$20=7,#REF!,IF($N$20=8,AB39,IF($N$20=9,Y39,IF($N$20=10,AD39,IF($N$20=11,AC39,IF($N$20=12,T39,0))))))))))))</f>
        <v>0</v>
      </c>
      <c r="AG39" s="107" t="s">
        <v>2317</v>
      </c>
    </row>
    <row r="40" spans="1:145" ht="32.1" customHeight="1">
      <c r="A40" s="187"/>
      <c r="B40" s="197" t="str">
        <f>VLOOKUP("STK",Sprachindex!A:Z,Info!$O$6,FALSE)</f>
        <v>STK</v>
      </c>
      <c r="C40" s="136"/>
      <c r="D40" s="136">
        <f>IF($N$23=1,AF40,IF($N$23=2,AT40,IF($N$23=3,BH40,IF($N$23=4,BV40,0))))</f>
        <v>0</v>
      </c>
      <c r="E40" s="283" t="str">
        <f>VLOOKUP("PREFA Rinnenwinkel außen 90°",Sprachindex!A:Z,Info!$O$6,FALSE)</f>
        <v>PREFA Rinnenwinkel außen 90°</v>
      </c>
      <c r="F40" s="284"/>
      <c r="G40" s="284"/>
      <c r="H40" s="284"/>
      <c r="I40" s="284"/>
      <c r="J40" s="320" t="str">
        <f>Formeln!A187</f>
        <v/>
      </c>
      <c r="K40" s="321"/>
      <c r="L40" s="137" t="str">
        <f t="shared" si="0"/>
        <v/>
      </c>
      <c r="M40" s="183"/>
      <c r="N40" s="124"/>
      <c r="O40" s="25"/>
      <c r="P40" s="11"/>
      <c r="Q40" s="11" t="str">
        <f>A40 &amp;" " &amp; VLOOKUP("Stk",Sprachindex!A:Z,Info!$O$6,FALSE)</f>
        <v xml:space="preserve"> STK</v>
      </c>
      <c r="R40" s="8">
        <f>IF(N23=4,2,4)</f>
        <v>4</v>
      </c>
      <c r="T40" s="95">
        <v>518033</v>
      </c>
      <c r="U40" s="95">
        <v>518070</v>
      </c>
      <c r="V40" s="95">
        <v>518035</v>
      </c>
      <c r="W40" s="95">
        <v>518072</v>
      </c>
      <c r="X40" s="95">
        <v>518047</v>
      </c>
      <c r="Y40" s="95">
        <v>518049</v>
      </c>
      <c r="Z40" s="95">
        <v>518064</v>
      </c>
      <c r="AA40" s="95">
        <v>518071</v>
      </c>
      <c r="AB40" s="95">
        <v>518067</v>
      </c>
      <c r="AC40" s="95">
        <v>518088</v>
      </c>
      <c r="AD40" s="95">
        <v>518082</v>
      </c>
      <c r="AE40" s="103"/>
      <c r="AF40" s="107">
        <f t="shared" ref="AF40:AF63" si="1">IF($N$20=1,V40,IF($N$20=2,X40,IF($N$20=3,AE40,IF($N$20=4,W40,IF($N$20=5,Z40,IF($N$20=6,AA40,IF($N$20=7,U40,IF($N$20=8,AB40,IF($N$20=9,Y40,IF($N$20=10,AD40,IF($N$20=11,AC40,IF($N$20=12,T40,0))))))))))))</f>
        <v>0</v>
      </c>
      <c r="AG40" s="107" t="s">
        <v>2315</v>
      </c>
      <c r="AH40" s="95">
        <v>518010</v>
      </c>
      <c r="AI40" s="95">
        <v>518011</v>
      </c>
      <c r="AJ40" s="95">
        <v>518012</v>
      </c>
      <c r="AK40" s="95">
        <v>518039</v>
      </c>
      <c r="AL40" s="95">
        <v>518025</v>
      </c>
      <c r="AM40" s="95">
        <v>518037</v>
      </c>
      <c r="AN40" s="95">
        <v>518059</v>
      </c>
      <c r="AO40" s="95">
        <v>518041</v>
      </c>
      <c r="AP40" s="95">
        <v>518065</v>
      </c>
      <c r="AQ40" s="95">
        <v>518090</v>
      </c>
      <c r="AR40" s="95">
        <v>518084</v>
      </c>
      <c r="AS40" s="103"/>
      <c r="AT40" s="107">
        <f>IF($N$20=1,AJ40,IF($N$20=2,AL40,IF($N$20=3,AS40,IF($N$20=4,AK40,IF($N$20=5,AN40,IF($N$20=6,AO40,IF($N$20=7,AI40,IF($N$20=8,AP40,IF($N$20=9,AM40,IF($N$20=10,AR40,IF($N$20=11,AQ40,IF($N$20=12,AH40,0))))))))))))</f>
        <v>0</v>
      </c>
      <c r="AU40" s="107" t="s">
        <v>2316</v>
      </c>
      <c r="AV40" s="95">
        <v>518013</v>
      </c>
      <c r="AW40" s="95">
        <v>518014</v>
      </c>
      <c r="AX40" s="95">
        <v>518015</v>
      </c>
      <c r="AY40" s="95">
        <v>518031</v>
      </c>
      <c r="AZ40" s="95">
        <v>518016</v>
      </c>
      <c r="BA40" s="95">
        <v>518029</v>
      </c>
      <c r="BB40" s="95">
        <v>518045</v>
      </c>
      <c r="BC40" s="95">
        <v>518043</v>
      </c>
      <c r="BD40" s="95">
        <v>518050</v>
      </c>
      <c r="BE40" s="95">
        <v>518079</v>
      </c>
      <c r="BF40" s="95">
        <v>518086</v>
      </c>
      <c r="BG40" s="103"/>
      <c r="BH40" s="107">
        <f>IF($N$20=1,AX40,IF($N$20=2,AZ40,IF($N$20=3,BG40,IF($N$20=4,AY40,IF($N$20=5,BB40,IF($N$20=6,BC40,IF($N$20=7,AW40,IF($N$20=8,BD40,IF($N$20=9,BA40,IF($N$20=10,BF40,IF($N$20=11,BE40,IF($N$20=12,AV40,0))))))))))))</f>
        <v>0</v>
      </c>
      <c r="BI40" s="107" t="s">
        <v>2317</v>
      </c>
      <c r="BJ40" s="95">
        <v>518017</v>
      </c>
      <c r="BK40" s="95">
        <v>518018</v>
      </c>
      <c r="BL40" s="95">
        <v>518022</v>
      </c>
      <c r="BM40" s="103"/>
      <c r="BN40" s="95">
        <v>518027</v>
      </c>
      <c r="BO40" s="103"/>
      <c r="BP40" s="103"/>
      <c r="BQ40" s="103"/>
      <c r="BR40" s="103"/>
      <c r="BS40" s="103"/>
      <c r="BT40" s="103"/>
      <c r="BU40" s="103"/>
      <c r="BV40" s="107">
        <f>IF($N$20=1,BL40,IF($N$20=2,BN40,IF($N$20=3,BU40,IF($N$20=4,BM40,IF($N$20=5,BP40,IF($N$20=6,BQ40,IF($N$20=7,BK40,IF($N$20=8,BR40,IF($N$20=9,BO40,IF($N$20=10,BT40,IF($N$20=11,BS40,IF($N$20=12,BJ40,0))))))))))))</f>
        <v>0</v>
      </c>
      <c r="BW40" s="107" t="s">
        <v>2318</v>
      </c>
    </row>
    <row r="41" spans="1:145" ht="32.1" customHeight="1">
      <c r="A41" s="187"/>
      <c r="B41" s="197" t="str">
        <f>VLOOKUP("STK",Sprachindex!A:Z,Info!$O$6,FALSE)</f>
        <v>STK</v>
      </c>
      <c r="C41" s="136"/>
      <c r="D41" s="136">
        <f>IF($N$23=1,AF41,IF($N$23=2,AT41,IF($N$23=3,BH41,IF($N$23=4,BV41,0))))</f>
        <v>0</v>
      </c>
      <c r="E41" s="283" t="str">
        <f>VLOOKUP("PREFA Rinnenwinkel innen 90°",Sprachindex!A:Z,Info!$O$6,FALSE)</f>
        <v>PREFA Rinnenwinkel innen 90°</v>
      </c>
      <c r="F41" s="284"/>
      <c r="G41" s="284"/>
      <c r="H41" s="284"/>
      <c r="I41" s="284"/>
      <c r="J41" s="320" t="str">
        <f>Formeln!A187</f>
        <v/>
      </c>
      <c r="K41" s="321"/>
      <c r="L41" s="137" t="str">
        <f t="shared" si="0"/>
        <v/>
      </c>
      <c r="M41" s="183"/>
      <c r="N41" s="124"/>
      <c r="O41" s="25"/>
      <c r="P41" s="11"/>
      <c r="Q41" s="11" t="str">
        <f>A41 &amp;" " &amp; VLOOKUP("Stk",Sprachindex!A:Z,Info!$O$6,FALSE)</f>
        <v xml:space="preserve"> STK</v>
      </c>
      <c r="R41" s="1">
        <f>IF(N23=4,2,4)</f>
        <v>4</v>
      </c>
      <c r="T41" s="95">
        <v>518032</v>
      </c>
      <c r="U41" s="95">
        <v>518060</v>
      </c>
      <c r="V41" s="95">
        <v>518034</v>
      </c>
      <c r="W41" s="95">
        <v>518062</v>
      </c>
      <c r="X41" s="95">
        <v>518046</v>
      </c>
      <c r="Y41" s="95">
        <v>518048</v>
      </c>
      <c r="Z41" s="95">
        <v>518063</v>
      </c>
      <c r="AA41" s="95">
        <v>518061</v>
      </c>
      <c r="AB41" s="95">
        <v>518068</v>
      </c>
      <c r="AC41" s="95">
        <v>518087</v>
      </c>
      <c r="AD41" s="95">
        <v>518081</v>
      </c>
      <c r="AE41" s="103"/>
      <c r="AF41" s="107">
        <f t="shared" si="1"/>
        <v>0</v>
      </c>
      <c r="AG41" s="107" t="s">
        <v>2315</v>
      </c>
      <c r="AH41" s="95">
        <v>518007</v>
      </c>
      <c r="AI41" s="95">
        <v>518006</v>
      </c>
      <c r="AJ41" s="95">
        <v>518002</v>
      </c>
      <c r="AK41" s="95">
        <v>518038</v>
      </c>
      <c r="AL41" s="95">
        <v>518024</v>
      </c>
      <c r="AM41" s="95">
        <v>518036</v>
      </c>
      <c r="AN41" s="95">
        <v>518058</v>
      </c>
      <c r="AO41" s="95">
        <v>518040</v>
      </c>
      <c r="AP41" s="95">
        <v>518066</v>
      </c>
      <c r="AQ41" s="95">
        <v>518089</v>
      </c>
      <c r="AR41" s="95">
        <v>518083</v>
      </c>
      <c r="AS41" s="103"/>
      <c r="AT41" s="107">
        <f>IF($N$20=1,AJ41,IF($N$20=2,AL41,IF($N$20=3,AS41,IF($N$20=4,AK41,IF($N$20=5,AN41,IF($N$20=6,AO41,IF($N$20=7,AI41,IF($N$20=8,AP41,IF($N$20=9,AM41,IF($N$20=10,AR41,IF($N$20=11,AQ41,IF($N$20=12,AH41,0))))))))))))</f>
        <v>0</v>
      </c>
      <c r="AU41" s="107" t="s">
        <v>2316</v>
      </c>
      <c r="AV41" s="95">
        <v>518004</v>
      </c>
      <c r="AW41" s="95">
        <v>518005</v>
      </c>
      <c r="AX41" s="95">
        <v>518001</v>
      </c>
      <c r="AY41" s="95">
        <v>518030</v>
      </c>
      <c r="AZ41" s="95">
        <v>518009</v>
      </c>
      <c r="BA41" s="95">
        <v>518028</v>
      </c>
      <c r="BB41" s="95">
        <v>518044</v>
      </c>
      <c r="BC41" s="95">
        <v>518042</v>
      </c>
      <c r="BD41" s="95">
        <v>518051</v>
      </c>
      <c r="BE41" s="95">
        <v>518080</v>
      </c>
      <c r="BF41" s="95">
        <v>518085</v>
      </c>
      <c r="BG41" s="103"/>
      <c r="BH41" s="107">
        <f>IF($N$20=1,AX41,IF($N$20=2,AZ41,IF($N$20=3,BG41,IF($N$20=4,AY41,IF($N$20=5,BB41,IF($N$20=6,BC41,IF($N$20=7,AW41,IF($N$20=8,BD41,IF($N$20=9,BA41,IF($N$20=10,BF41,IF($N$20=11,BE41,IF($N$20=12,AV41,0))))))))))))</f>
        <v>0</v>
      </c>
      <c r="BI41" s="107" t="s">
        <v>2317</v>
      </c>
      <c r="BJ41" s="95">
        <v>518003</v>
      </c>
      <c r="BK41" s="95">
        <v>518008</v>
      </c>
      <c r="BL41" s="95">
        <v>518023</v>
      </c>
      <c r="BM41" s="103"/>
      <c r="BN41" s="95">
        <v>518026</v>
      </c>
      <c r="BO41" s="103"/>
      <c r="BP41" s="103"/>
      <c r="BQ41" s="103"/>
      <c r="BR41" s="103"/>
      <c r="BS41" s="103"/>
      <c r="BT41" s="103"/>
      <c r="BU41" s="103"/>
      <c r="BV41" s="107">
        <f>IF($N$20=1,BL41,IF($N$20=2,BN41,IF($N$20=3,BU41,IF($N$20=4,BM41,IF($N$20=5,BP41,IF($N$20=6,BQ41,IF($N$20=7,BK41,IF($N$20=8,BR41,IF($N$20=9,BO41,IF($N$20=10,BT41,IF($N$20=11,BS41,IF($N$20=12,BJ41,0))))))))))))</f>
        <v>0</v>
      </c>
      <c r="BW41" s="107" t="s">
        <v>2318</v>
      </c>
    </row>
    <row r="42" spans="1:145" ht="32.1" customHeight="1">
      <c r="A42" s="187"/>
      <c r="B42" s="197" t="str">
        <f>VLOOKUP("STK",Sprachindex!A:Z,Info!$O$6,FALSE)</f>
        <v>STK</v>
      </c>
      <c r="C42" s="141"/>
      <c r="D42" s="141">
        <f>IF(AND($N$23=1,$N$24=2),AF42,IF(AND($N$23=2,$N$24=2),AT42,IF(AND($N$23=1,$N$24=3),BH42,IF(AND($N$23=3,$N$24=2),BV42,IF(AND($N$23=3,$N$24=3),CJ42,IF(AND($N$23=3,$N$24=4),CX42,IF(AND($N$23=4,$N$24=4),DL42,IF(AND($N$23=4,$N$24=5),DZ42,0))))))))</f>
        <v>0</v>
      </c>
      <c r="E42" s="283" t="str">
        <f>VLOOKUP("PREFA Rinnenkessel",Sprachindex!A:Z,Info!$O$6,FALSE)</f>
        <v>PREFA Rinnenkessel</v>
      </c>
      <c r="F42" s="284"/>
      <c r="G42" s="284"/>
      <c r="H42" s="284"/>
      <c r="I42" s="284"/>
      <c r="J42" s="320" t="str">
        <f>Formeln!A203</f>
        <v/>
      </c>
      <c r="K42" s="321"/>
      <c r="L42" s="137" t="str">
        <f t="shared" si="0"/>
        <v/>
      </c>
      <c r="M42" s="183"/>
      <c r="N42" s="124"/>
      <c r="O42" s="25"/>
      <c r="P42" s="11"/>
      <c r="Q42" s="11" t="str">
        <f>A42 &amp;" " &amp; VLOOKUP("Stk",Sprachindex!A:Z,Info!$O$6,FALSE)</f>
        <v xml:space="preserve"> STK</v>
      </c>
      <c r="R42" s="1">
        <f>IF(AND(N23=1,N24=2),5,IF(AND(N23=3,N24=4),5,IF(AND(N23=4,N24=4),3,IF(AND(N23=4,N24=5),1,10))))</f>
        <v>10</v>
      </c>
      <c r="T42" s="95">
        <v>519027</v>
      </c>
      <c r="U42" s="95">
        <v>519046</v>
      </c>
      <c r="V42" s="95">
        <v>519028</v>
      </c>
      <c r="W42" s="95">
        <v>519048</v>
      </c>
      <c r="X42" s="95">
        <v>519040</v>
      </c>
      <c r="Y42" s="95">
        <v>519041</v>
      </c>
      <c r="Z42" s="95">
        <v>519053</v>
      </c>
      <c r="AA42" s="95">
        <v>519047</v>
      </c>
      <c r="AB42" s="95">
        <v>519058</v>
      </c>
      <c r="AC42" s="95">
        <v>519079</v>
      </c>
      <c r="AD42" s="95">
        <v>519073</v>
      </c>
      <c r="AE42" s="103"/>
      <c r="AF42" s="107">
        <f t="shared" si="1"/>
        <v>0</v>
      </c>
      <c r="AG42" s="107" t="s">
        <v>2320</v>
      </c>
      <c r="AH42" s="95">
        <v>519011</v>
      </c>
      <c r="AI42" s="95">
        <v>519001</v>
      </c>
      <c r="AJ42" s="95">
        <v>519015</v>
      </c>
      <c r="AK42" s="95">
        <v>519032</v>
      </c>
      <c r="AL42" s="95">
        <v>519017</v>
      </c>
      <c r="AM42" s="95">
        <v>519030</v>
      </c>
      <c r="AN42" s="95">
        <v>519051</v>
      </c>
      <c r="AO42" s="95">
        <v>519036</v>
      </c>
      <c r="AP42" s="95">
        <v>519060</v>
      </c>
      <c r="AQ42" s="95">
        <v>519081</v>
      </c>
      <c r="AR42" s="95">
        <v>519075</v>
      </c>
      <c r="AS42" s="103"/>
      <c r="AT42" s="107">
        <f>IF($N$20=1,AJ42,IF($N$20=2,AL42,IF($N$20=3,AS42,IF($N$20=4,AK42,IF($N$20=5,AN42,IF($N$20=6,AO42,IF($N$20=7,AI42,IF($N$20=8,AP42,IF($N$20=9,AM42,IF($N$20=10,AR42,IF($N$20=11,AQ42,IF($N$20=12,AH42,0))))))))))))</f>
        <v>0</v>
      </c>
      <c r="AU42" s="107" t="s">
        <v>2319</v>
      </c>
      <c r="AV42" s="95">
        <v>519010</v>
      </c>
      <c r="AW42" s="95">
        <v>519021</v>
      </c>
      <c r="AX42" s="95">
        <v>519020</v>
      </c>
      <c r="AY42" s="95">
        <v>519031</v>
      </c>
      <c r="AZ42" s="95">
        <v>519022</v>
      </c>
      <c r="BA42" s="95">
        <v>519029</v>
      </c>
      <c r="BB42" s="95">
        <v>519050</v>
      </c>
      <c r="BC42" s="95">
        <v>519035</v>
      </c>
      <c r="BD42" s="95">
        <v>519059</v>
      </c>
      <c r="BE42" s="95">
        <v>519080</v>
      </c>
      <c r="BF42" s="95">
        <v>519074</v>
      </c>
      <c r="BG42" s="103"/>
      <c r="BH42" s="107">
        <f>IF($N$20=1,AX42,IF($N$20=2,AZ42,IF($N$20=3,BG42,IF($N$20=4,AY42,IF($N$20=5,BB42,IF($N$20=6,BC42,IF($N$20=7,AW42,IF($N$20=8,BD42,IF($N$20=9,BA42,IF($N$20=10,BF42,IF($N$20=11,BE42,IF($N$20=12,AV42,0))))))))))))</f>
        <v>0</v>
      </c>
      <c r="BI42" s="107" t="s">
        <v>2321</v>
      </c>
      <c r="BJ42" s="95">
        <v>519063</v>
      </c>
      <c r="BK42" s="95">
        <v>519066</v>
      </c>
      <c r="BL42" s="95">
        <v>519064</v>
      </c>
      <c r="BM42" s="95">
        <v>519069</v>
      </c>
      <c r="BN42" s="95">
        <v>519065</v>
      </c>
      <c r="BO42" s="95">
        <v>519067</v>
      </c>
      <c r="BP42" s="95">
        <v>519070</v>
      </c>
      <c r="BQ42" s="95">
        <v>519068</v>
      </c>
      <c r="BR42" s="95">
        <v>519071</v>
      </c>
      <c r="BS42" s="95">
        <v>519082</v>
      </c>
      <c r="BT42" s="95">
        <v>519076</v>
      </c>
      <c r="BU42" s="103"/>
      <c r="BV42" s="107">
        <f>IF($N$20=1,BL42,IF($N$20=2,BN42,IF($N$20=3,BU42,IF($N$20=4,BM42,IF($N$20=5,BP42,IF($N$20=6,BQ42,IF($N$20=7,BK42,IF($N$20=8,BR42,IF($N$20=9,BO42,IF($N$20=10,BT42,IF($N$20=11,BS42,IF($N$20=12,BJ42,0))))))))))))</f>
        <v>0</v>
      </c>
      <c r="BW42" s="107" t="s">
        <v>2322</v>
      </c>
      <c r="BX42" s="95">
        <v>519012</v>
      </c>
      <c r="BY42" s="95">
        <v>519004</v>
      </c>
      <c r="BZ42" s="95">
        <v>519013</v>
      </c>
      <c r="CA42" s="95">
        <v>519026</v>
      </c>
      <c r="CB42" s="95">
        <v>519002</v>
      </c>
      <c r="CC42" s="95">
        <v>519025</v>
      </c>
      <c r="CD42" s="95">
        <v>519049</v>
      </c>
      <c r="CE42" s="95">
        <v>519037</v>
      </c>
      <c r="CF42" s="95">
        <v>519042</v>
      </c>
      <c r="CG42" s="95">
        <v>519062</v>
      </c>
      <c r="CH42" s="95">
        <v>519077</v>
      </c>
      <c r="CI42" s="103"/>
      <c r="CJ42" s="107">
        <f>IF($N$20=1,BZ42,IF($N$20=2,CB42,IF($N$20=3,CI42,IF($N$20=4,CA42,IF($N$20=5,CD42,IF($N$20=6,CE42,IF($N$20=7,BY42,IF($N$20=8,CF42,IF($N$20=9,CC42,IF($N$20=10,CH42,IF($N$20=11,CG42,IF($N$20=12,BX42,0))))))))))))</f>
        <v>0</v>
      </c>
      <c r="CK42" s="107" t="s">
        <v>2323</v>
      </c>
      <c r="CL42" s="95">
        <v>519007</v>
      </c>
      <c r="CM42" s="95">
        <v>519006</v>
      </c>
      <c r="CN42" s="95">
        <v>519014</v>
      </c>
      <c r="CO42" s="95">
        <v>519034</v>
      </c>
      <c r="CP42" s="95">
        <v>519016</v>
      </c>
      <c r="CQ42" s="95">
        <v>519033</v>
      </c>
      <c r="CR42" s="95">
        <v>519052</v>
      </c>
      <c r="CS42" s="95">
        <v>519038</v>
      </c>
      <c r="CT42" s="95">
        <v>519061</v>
      </c>
      <c r="CU42" s="95">
        <v>519083</v>
      </c>
      <c r="CV42" s="95">
        <v>519078</v>
      </c>
      <c r="CW42" s="103"/>
      <c r="CX42" s="107">
        <f>IF($N$20=1,CN42,IF($N$20=2,CP42,IF($N$20=3,CW42,IF($N$20=4,CO42,IF($N$20=5,CR42,IF($N$20=6,CS42,IF($N$20=7,CM42,IF($N$20=8,CT42,IF($N$20=9,CQ42,IF($N$20=10,CV42,IF($N$20=11,CU42,IF($N$20=12,CL42,0))))))))))))</f>
        <v>0</v>
      </c>
      <c r="CY42" s="107" t="s">
        <v>2324</v>
      </c>
      <c r="CZ42" s="95">
        <v>519008</v>
      </c>
      <c r="DA42" s="95">
        <v>519005</v>
      </c>
      <c r="DB42" s="95">
        <v>519018</v>
      </c>
      <c r="DC42" s="103"/>
      <c r="DD42" s="95">
        <v>519023</v>
      </c>
      <c r="DE42" s="103"/>
      <c r="DF42" s="103"/>
      <c r="DG42" s="103"/>
      <c r="DH42" s="103"/>
      <c r="DI42" s="103"/>
      <c r="DJ42" s="103"/>
      <c r="DK42" s="103"/>
      <c r="DL42" s="107">
        <f>IF($N$20=1,DB42,IF($N$20=2,DD42,IF($N$20=3,DK42,IF($N$20=4,DC42,IF($N$20=5,DF42,IF($N$20=6,DG42,IF($N$20=7,DA42,IF($N$20=8,DH42,IF($N$20=9,DE42,IF($N$20=10,DJ42,IF($N$20=11,DI42,IF($N$20=12,CZ42,0))))))))))))</f>
        <v>0</v>
      </c>
      <c r="DM42" s="107" t="s">
        <v>2325</v>
      </c>
      <c r="DN42" s="95">
        <v>519009</v>
      </c>
      <c r="DO42" s="95">
        <v>519003</v>
      </c>
      <c r="DP42" s="95">
        <v>519019</v>
      </c>
      <c r="DQ42" s="103"/>
      <c r="DR42" s="95">
        <v>519024</v>
      </c>
      <c r="DS42" s="103"/>
      <c r="DT42" s="103"/>
      <c r="DU42" s="103"/>
      <c r="DV42" s="103"/>
      <c r="DW42" s="103"/>
      <c r="DX42" s="103"/>
      <c r="DY42" s="103"/>
      <c r="DZ42" s="107">
        <f>IF($N$20=1,DP42,IF($N$20=2,DR42,IF($N$20=3,DY42,IF($N$20=4,DQ42,IF($N$20=5,DT42,IF($N$20=6,DU42,IF($N$20=7,DO42,IF($N$20=8,DV42,IF($N$20=9,DS42,IF($N$20=10,DX42,IF($N$20=11,DW42,IF($N$20=12,DN42,0))))))))))))</f>
        <v>0</v>
      </c>
      <c r="EA42" s="107" t="s">
        <v>2326</v>
      </c>
    </row>
    <row r="43" spans="1:145" ht="32.1" customHeight="1">
      <c r="A43" s="187"/>
      <c r="B43" s="197" t="str">
        <f>VLOOKUP("STK",Sprachindex!A:Z,Info!$O$6,FALSE)</f>
        <v>STK</v>
      </c>
      <c r="C43" s="136"/>
      <c r="D43" s="136">
        <f>IF(OR(AND(N23=1,N24=2),AND(N23=2,N24=2),AND(N23=3,N24=2)),AF43,IF(OR(AND(N23=2,N24=3),AND(N23=3,N24=3)),AT43,IF(OR(AND(N23=3,N24=4),AND(N23=4,N24=4)),BH43,0)))</f>
        <v>0</v>
      </c>
      <c r="E43" s="283" t="str">
        <f>VLOOKUP("PREFA Schrägstutzen",Sprachindex!A:Z,Info!$O$6,FALSE)</f>
        <v>PREFA Schrägstutzen</v>
      </c>
      <c r="F43" s="284"/>
      <c r="G43" s="284"/>
      <c r="H43" s="284"/>
      <c r="I43" s="284"/>
      <c r="J43" s="320" t="str">
        <f>Formeln!A206</f>
        <v/>
      </c>
      <c r="K43" s="321"/>
      <c r="L43" s="137" t="str">
        <f t="shared" si="0"/>
        <v/>
      </c>
      <c r="M43" s="183"/>
      <c r="N43" s="124"/>
      <c r="O43" s="25"/>
      <c r="P43" s="11"/>
      <c r="Q43" s="11" t="str">
        <f>A43 &amp;" " &amp; VLOOKUP("Stk",Sprachindex!A:Z,Info!$O$6,FALSE)</f>
        <v xml:space="preserve"> STK</v>
      </c>
      <c r="T43" s="95">
        <v>520010</v>
      </c>
      <c r="U43" s="95">
        <v>520011</v>
      </c>
      <c r="V43" s="95">
        <v>520012</v>
      </c>
      <c r="W43" s="95">
        <v>520016</v>
      </c>
      <c r="X43" s="95">
        <v>520006</v>
      </c>
      <c r="Y43" s="95">
        <v>520015</v>
      </c>
      <c r="Z43" s="95">
        <v>520023</v>
      </c>
      <c r="AA43" s="95">
        <v>520017</v>
      </c>
      <c r="AB43" s="95">
        <v>520025</v>
      </c>
      <c r="AC43" s="95">
        <v>520040</v>
      </c>
      <c r="AD43" s="95">
        <v>520037</v>
      </c>
      <c r="AE43" s="103"/>
      <c r="AF43" s="107">
        <f t="shared" si="1"/>
        <v>0</v>
      </c>
      <c r="AG43" s="107">
        <v>80</v>
      </c>
      <c r="AH43" s="95">
        <v>520004</v>
      </c>
      <c r="AI43" s="95">
        <v>520003</v>
      </c>
      <c r="AJ43" s="95">
        <v>520007</v>
      </c>
      <c r="AK43" s="95">
        <v>520014</v>
      </c>
      <c r="AL43" s="95">
        <v>520001</v>
      </c>
      <c r="AM43" s="95">
        <v>520013</v>
      </c>
      <c r="AN43" s="95">
        <v>520022</v>
      </c>
      <c r="AO43" s="95">
        <v>520018</v>
      </c>
      <c r="AP43" s="95">
        <v>520030</v>
      </c>
      <c r="AQ43" s="95">
        <v>520036</v>
      </c>
      <c r="AR43" s="95">
        <v>520038</v>
      </c>
      <c r="AS43" s="103"/>
      <c r="AT43" s="107">
        <f>IF($N$20=1,AJ43,IF($N$20=2,AL43,IF($N$20=3,AS43,IF($N$20=4,AK43,IF($N$20=5,AN43,IF($N$20=6,AO43,IF($N$20=7,AI43,IF($N$20=8,AP43,IF($N$20=9,AM43,IF($N$20=10,AR43,IF($N$20=11,AQ43,IF($N$20=12,AH43,0))))))))))))</f>
        <v>0</v>
      </c>
      <c r="AU43" s="107">
        <v>100</v>
      </c>
      <c r="AV43" s="95">
        <v>520005</v>
      </c>
      <c r="AW43" s="95">
        <v>520002</v>
      </c>
      <c r="AX43" s="95">
        <v>520008</v>
      </c>
      <c r="AY43" s="95">
        <v>520019</v>
      </c>
      <c r="AZ43" s="95">
        <v>520009</v>
      </c>
      <c r="BA43" s="95">
        <v>520020</v>
      </c>
      <c r="BB43" s="95">
        <v>520024</v>
      </c>
      <c r="BC43" s="95">
        <v>520021</v>
      </c>
      <c r="BD43" s="95">
        <v>520026</v>
      </c>
      <c r="BE43" s="95">
        <v>520041</v>
      </c>
      <c r="BF43" s="95">
        <v>520039</v>
      </c>
      <c r="BG43" s="103"/>
      <c r="BH43" s="107">
        <f>IF($N$20=1,AX43,IF($N$20=2,AZ43,IF($N$20=3,BG43,IF($N$20=4,AY43,IF($N$20=5,BB43,IF($N$20=6,BC43,IF($N$20=7,AW43,IF($N$20=8,BD43,IF($N$20=9,BA43,IF($N$20=10,BF43,IF($N$20=11,BE43,IF($N$20=12,AV43,0))))))))))))</f>
        <v>0</v>
      </c>
      <c r="BI43" s="107">
        <v>120</v>
      </c>
    </row>
    <row r="44" spans="1:145" ht="32.1" customHeight="1">
      <c r="A44" s="187"/>
      <c r="B44" s="197" t="str">
        <f>VLOOKUP("lfm",Sprachindex!A:Z,Info!$O$6,FALSE)</f>
        <v>lfm</v>
      </c>
      <c r="C44" s="136"/>
      <c r="D44" s="136">
        <f>AF44</f>
        <v>0</v>
      </c>
      <c r="E44" s="283" t="str">
        <f>VLOOKUP("PREFA Einlaufblech glatt",Sprachindex!A:Z,Info!$O$6,FALSE)</f>
        <v>PREFA Einlaufblech glatt</v>
      </c>
      <c r="F44" s="284"/>
      <c r="G44" s="284"/>
      <c r="H44" s="284"/>
      <c r="I44" s="284"/>
      <c r="J44" s="320" t="str">
        <f>VLOOKUP("230 × 2.000 × 0,7 mm",Sprachindex!A:Z,Info!$O$6,FALSE)</f>
        <v>230 × 2.000 × 0,7 mm</v>
      </c>
      <c r="K44" s="321"/>
      <c r="L44" s="137" t="str">
        <f t="shared" si="0"/>
        <v/>
      </c>
      <c r="M44" s="183"/>
      <c r="N44" s="124"/>
      <c r="O44" s="25"/>
      <c r="P44" s="11"/>
      <c r="Q44" s="11" t="str">
        <f>ROUNDUP(A44/2,0)*2 &amp;" " &amp; VLOOKUP("lfm",Sprachindex!A:Z,Info!$O$6,FALSE)</f>
        <v>0 lfm</v>
      </c>
      <c r="T44" s="95">
        <v>563002</v>
      </c>
      <c r="U44" s="95">
        <v>563001</v>
      </c>
      <c r="V44" s="95">
        <v>563005</v>
      </c>
      <c r="W44" s="95">
        <v>563007</v>
      </c>
      <c r="X44" s="95">
        <v>563004</v>
      </c>
      <c r="Y44" s="95">
        <v>563012</v>
      </c>
      <c r="Z44" s="95">
        <v>563006</v>
      </c>
      <c r="AA44" s="95">
        <v>563011</v>
      </c>
      <c r="AB44" s="95">
        <v>563013</v>
      </c>
      <c r="AC44" s="95">
        <v>563015</v>
      </c>
      <c r="AD44" s="95">
        <v>563016</v>
      </c>
      <c r="AE44" s="95">
        <v>563017</v>
      </c>
      <c r="AF44" s="107">
        <f t="shared" si="1"/>
        <v>0</v>
      </c>
      <c r="AG44" s="107"/>
    </row>
    <row r="45" spans="1:145" ht="32.1" customHeight="1">
      <c r="A45" s="29"/>
      <c r="B45" s="137" t="str">
        <f>VLOOKUP("lfm",Sprachindex!A:Z,Info!$O$6,FALSE)</f>
        <v>lfm</v>
      </c>
      <c r="C45" s="135"/>
      <c r="D45" s="136">
        <v>507300</v>
      </c>
      <c r="E45" s="264" t="str">
        <f>VLOOKUP("PREFA Vogelschutzgitter braun/anthrazit (125x2.000x0,7mm)",Sprachindex!A:Z,Info!$O$6,FALSE)</f>
        <v>PREFA Vogelschutzgitter braun/anthrazit (125x2.000x0,7mm)</v>
      </c>
      <c r="F45" s="265"/>
      <c r="G45" s="265"/>
      <c r="H45" s="265"/>
      <c r="I45" s="265"/>
      <c r="J45" s="320"/>
      <c r="K45" s="321"/>
      <c r="L45" s="137" t="str">
        <f t="shared" si="0"/>
        <v/>
      </c>
      <c r="M45" s="138"/>
      <c r="N45" s="1"/>
      <c r="O45" s="1"/>
      <c r="P45" s="11"/>
      <c r="Q45" s="11" t="str">
        <f>ROUNDUP(A45/2,0)*2 &amp;" " &amp; VLOOKUP("lfm",Sprachindex!A:Z,Info!$O$6,FALSE)</f>
        <v>0 lfm</v>
      </c>
      <c r="T45" s="75" t="s">
        <v>1554</v>
      </c>
      <c r="U45" s="75" t="s">
        <v>1555</v>
      </c>
      <c r="V45" s="75" t="s">
        <v>1556</v>
      </c>
      <c r="W45" s="75" t="s">
        <v>1557</v>
      </c>
      <c r="X45" s="75" t="s">
        <v>1558</v>
      </c>
      <c r="Y45" s="75" t="s">
        <v>1559</v>
      </c>
      <c r="Z45" s="75" t="s">
        <v>1560</v>
      </c>
      <c r="AA45" s="75" t="s">
        <v>1561</v>
      </c>
      <c r="AB45" s="75" t="s">
        <v>1562</v>
      </c>
      <c r="AC45" s="75" t="s">
        <v>1563</v>
      </c>
      <c r="AD45" s="75" t="s">
        <v>1554</v>
      </c>
      <c r="AE45" s="75" t="s">
        <v>1555</v>
      </c>
      <c r="AF45" s="75" t="s">
        <v>1556</v>
      </c>
      <c r="AG45" s="75" t="s">
        <v>1557</v>
      </c>
      <c r="AH45" s="75" t="s">
        <v>1558</v>
      </c>
      <c r="AI45" s="75" t="s">
        <v>1559</v>
      </c>
      <c r="AJ45" s="75" t="s">
        <v>1560</v>
      </c>
      <c r="AK45" s="75" t="s">
        <v>1561</v>
      </c>
      <c r="AL45" s="75" t="s">
        <v>1562</v>
      </c>
      <c r="AM45" s="75" t="s">
        <v>1563</v>
      </c>
    </row>
    <row r="46" spans="1:145" ht="32.1" customHeight="1">
      <c r="A46" s="187"/>
      <c r="B46" s="197" t="str">
        <f>VLOOKUP("STK",Sprachindex!A:Z,Info!$O$6,FALSE)</f>
        <v>STK</v>
      </c>
      <c r="C46" s="136"/>
      <c r="D46" s="136">
        <f>AF46</f>
        <v>0</v>
      </c>
      <c r="E46" s="283" t="str">
        <f>VLOOKUP("PREFA Überbügel",Sprachindex!A:Z,Info!$O$6,FALSE)</f>
        <v>PREFA Überbügel</v>
      </c>
      <c r="F46" s="284"/>
      <c r="G46" s="284"/>
      <c r="H46" s="284"/>
      <c r="I46" s="284"/>
      <c r="J46" s="320" t="str">
        <f>VLOOKUP("4 × 25 × 370 mm",Sprachindex!A:Z,Info!$O$6,FALSE)</f>
        <v>4 × 25 × 370 mm</v>
      </c>
      <c r="K46" s="321"/>
      <c r="L46" s="137" t="str">
        <f t="shared" si="0"/>
        <v/>
      </c>
      <c r="M46" s="183"/>
      <c r="N46" s="124"/>
      <c r="O46" s="25"/>
      <c r="P46" s="11"/>
      <c r="Q46" s="11" t="str">
        <f>A46 &amp;" " &amp; VLOOKUP("Stk",Sprachindex!A:Z,Info!$O$6,FALSE)</f>
        <v xml:space="preserve"> STK</v>
      </c>
      <c r="T46" s="95">
        <v>537044</v>
      </c>
      <c r="U46" s="95">
        <v>537048</v>
      </c>
      <c r="V46" s="95">
        <v>537045</v>
      </c>
      <c r="W46" s="95">
        <v>537047</v>
      </c>
      <c r="X46" s="95">
        <v>537046</v>
      </c>
      <c r="Y46" s="95">
        <v>537050</v>
      </c>
      <c r="Z46" s="95">
        <v>537056</v>
      </c>
      <c r="AA46" s="95">
        <v>537049</v>
      </c>
      <c r="AB46" s="95">
        <v>537052</v>
      </c>
      <c r="AC46" s="95">
        <v>537057</v>
      </c>
      <c r="AD46" s="95">
        <v>537058</v>
      </c>
      <c r="AE46" s="103"/>
      <c r="AF46" s="107">
        <f t="shared" si="1"/>
        <v>0</v>
      </c>
      <c r="AG46" s="107"/>
    </row>
    <row r="47" spans="1:145" ht="32.1" customHeight="1">
      <c r="A47" s="187"/>
      <c r="B47" s="197" t="str">
        <f>VLOOKUP("lfm",Sprachindex!A:Z,Info!$O$6,FALSE)</f>
        <v>lfm</v>
      </c>
      <c r="C47" s="136"/>
      <c r="D47" s="136">
        <f>IF(AND(N23=1,J47=Formeln!E210),BH47,IF(AND(N23=3,J47=Formeln!E210),BV47,IF(AND(N23=4,J47=Formeln!E210),CJ47,IF(AND(N23=5,J47=Formeln!E210),CX47,IF(AND(N23=1,J47=Formeln!E211),AF47,IF(AND(N23=4,J47=Formeln!E211),AT47,0))))))</f>
        <v>0</v>
      </c>
      <c r="E47" s="283" t="str">
        <f>VLOOKUP("PREFA Aluminium Kastenrinne",Sprachindex!A:Z,Info!$O$6,FALSE)</f>
        <v>PREFA Aluminium Kastenrinne</v>
      </c>
      <c r="F47" s="284"/>
      <c r="G47" s="284"/>
      <c r="H47" s="284"/>
      <c r="I47" s="189" t="str">
        <f>VLOOKUP("Länge wählen:",Sprachindex!A:Z,Info!$O$6,FALSE)</f>
        <v>Länge wählen:</v>
      </c>
      <c r="J47" s="269"/>
      <c r="K47" s="270"/>
      <c r="L47" s="137" t="str">
        <f t="shared" si="0"/>
        <v/>
      </c>
      <c r="M47" s="183"/>
      <c r="N47" s="124"/>
      <c r="O47" s="25"/>
      <c r="P47" s="11"/>
      <c r="Q47" s="11" t="str">
        <f>IF(J47=Formeln!E211,ROUNDUP(A47/3,0)*3 &amp;" " &amp; VLOOKUP("lfm",Sprachindex!A:Z,Info!$O$6,FALSE),ROUNDUP(A47/6,0)*6 &amp;" " &amp; VLOOKUP("lfm",Sprachindex!A:Z,Info!$O$6,FALSE))</f>
        <v>0 lfm</v>
      </c>
      <c r="T47" s="95">
        <v>573210</v>
      </c>
      <c r="U47" s="95">
        <v>573213</v>
      </c>
      <c r="V47" s="95">
        <v>573212</v>
      </c>
      <c r="W47" s="103"/>
      <c r="X47" s="95">
        <v>573211</v>
      </c>
      <c r="Y47" s="103"/>
      <c r="Z47" s="103"/>
      <c r="AA47" s="103"/>
      <c r="AB47" s="103"/>
      <c r="AC47" s="103"/>
      <c r="AD47" s="103"/>
      <c r="AE47" s="103"/>
      <c r="AF47" s="107">
        <f t="shared" si="1"/>
        <v>0</v>
      </c>
      <c r="AG47" s="107" t="s">
        <v>1584</v>
      </c>
      <c r="AH47" s="95">
        <v>573200</v>
      </c>
      <c r="AI47" s="95">
        <v>573202</v>
      </c>
      <c r="AJ47" s="95">
        <v>573203</v>
      </c>
      <c r="AK47" s="95">
        <v>573205</v>
      </c>
      <c r="AL47" s="95">
        <v>573201</v>
      </c>
      <c r="AM47" s="95">
        <v>573208</v>
      </c>
      <c r="AN47" s="95">
        <v>573206</v>
      </c>
      <c r="AO47" s="95">
        <v>573204</v>
      </c>
      <c r="AP47" s="95">
        <v>573207</v>
      </c>
      <c r="AQ47" s="95">
        <v>573215</v>
      </c>
      <c r="AR47" s="95">
        <v>573214</v>
      </c>
      <c r="AS47" s="103"/>
      <c r="AT47" s="107">
        <f>IF($N$20=1,AJ47,IF($N$20=2,AL47,IF($N$20=3,AS47,IF($N$20=4,AK47,IF($N$20=5,AN47,IF($N$20=6,AO47,IF($N$20=7,AI47,IF($N$20=8,AP47,IF($N$20=9,AM47,IF($N$20=10,AR47,IF($N$20=11,AQ47,IF($N$20=12,AH47,0))))))))))))</f>
        <v>0</v>
      </c>
      <c r="AU47" s="107" t="s">
        <v>1586</v>
      </c>
      <c r="AV47" s="95">
        <v>573009</v>
      </c>
      <c r="AW47" s="95">
        <v>573012</v>
      </c>
      <c r="AX47" s="95">
        <v>573010</v>
      </c>
      <c r="AY47" s="103"/>
      <c r="AZ47" s="95">
        <v>573011</v>
      </c>
      <c r="BA47" s="103"/>
      <c r="BB47" s="103"/>
      <c r="BC47" s="103"/>
      <c r="BD47" s="103"/>
      <c r="BE47" s="103"/>
      <c r="BF47" s="103"/>
      <c r="BG47" s="103"/>
      <c r="BH47" s="107">
        <f>IF($N$20=1,AX47,IF($N$20=2,AZ47,IF($N$20=3,BG47,IF($N$20=4,AY47,IF($N$20=5,BB47,IF($N$20=6,BC47,IF($N$20=7,AW47,IF($N$20=8,BD47,IF($N$20=9,BA47,IF($N$20=10,BF47,IF($N$20=11,BE47,IF($N$20=12,AV47,0))))))))))))</f>
        <v>0</v>
      </c>
      <c r="BI47" s="107" t="s">
        <v>1588</v>
      </c>
      <c r="BJ47" s="95">
        <v>573002</v>
      </c>
      <c r="BK47" s="95">
        <v>573001</v>
      </c>
      <c r="BL47" s="95">
        <v>573003</v>
      </c>
      <c r="BM47" s="95">
        <v>573017</v>
      </c>
      <c r="BN47" s="95">
        <v>573007</v>
      </c>
      <c r="BO47" s="95">
        <v>573008</v>
      </c>
      <c r="BP47" s="95">
        <v>573019</v>
      </c>
      <c r="BQ47" s="95">
        <v>573016</v>
      </c>
      <c r="BR47" s="95">
        <v>573015</v>
      </c>
      <c r="BS47" s="95">
        <v>573024</v>
      </c>
      <c r="BT47" s="95">
        <v>573023</v>
      </c>
      <c r="BU47" s="103"/>
      <c r="BV47" s="107">
        <f>IF($N$20=1,BL47,IF($N$20=2,BN47,IF($N$20=3,BU47,IF($N$20=4,BM47,IF($N$20=5,BP47,IF($N$20=6,BQ47,IF($N$20=7,BK47,IF($N$20=8,BR47,IF($N$20=9,BO47,IF($N$20=10,BT47,IF($N$20=11,BS47,IF($N$20=12,BJ47,0))))))))))))</f>
        <v>0</v>
      </c>
      <c r="BW47" s="107" t="s">
        <v>1590</v>
      </c>
      <c r="BX47" s="95">
        <v>573005</v>
      </c>
      <c r="BY47" s="95">
        <v>573004</v>
      </c>
      <c r="BZ47" s="95">
        <v>573006</v>
      </c>
      <c r="CA47" s="103"/>
      <c r="CB47" s="95">
        <v>573014</v>
      </c>
      <c r="CC47" s="103"/>
      <c r="CD47" s="103"/>
      <c r="CE47" s="103"/>
      <c r="CF47" s="103"/>
      <c r="CG47" s="103"/>
      <c r="CH47" s="103"/>
      <c r="CI47" s="103"/>
      <c r="CJ47" s="107">
        <f>IF($N$20=1,BZ47,IF($N$20=2,CB47,IF($N$20=3,CI47,IF($N$20=4,CA47,IF($N$20=5,CD47,IF($N$20=6,CE47,IF($N$20=7,BY47,IF($N$20=8,CF47,IF($N$20=9,CC47,IF($N$20=10,CH47,IF($N$20=11,CG47,IF($N$20=12,BX47,0))))))))))))</f>
        <v>0</v>
      </c>
      <c r="CK47" s="107" t="s">
        <v>1591</v>
      </c>
      <c r="CL47" s="95">
        <v>573304</v>
      </c>
      <c r="CM47" s="95">
        <v>573303</v>
      </c>
      <c r="CN47" s="95">
        <v>573301</v>
      </c>
      <c r="CO47" s="103"/>
      <c r="CP47" s="95">
        <v>573302</v>
      </c>
      <c r="CQ47" s="103"/>
      <c r="CR47" s="103"/>
      <c r="CS47" s="103"/>
      <c r="CT47" s="103"/>
      <c r="CU47" s="103"/>
      <c r="CV47" s="103"/>
      <c r="CW47" s="103"/>
      <c r="CX47" s="107">
        <f>IF($N$20=1,CN47,IF($N$20=2,CP47,IF($N$20=3,CW47,IF($N$20=4,CO47,IF($N$20=5,CR47,IF($N$20=6,CS47,IF($N$20=7,CM47,IF($N$20=8,CT47,IF($N$20=9,CQ47,IF($N$20=10,CV47,IF($N$20=11,CU47,IF($N$20=12,CL47,0))))))))))))</f>
        <v>0</v>
      </c>
      <c r="CY47" s="107" t="s">
        <v>2327</v>
      </c>
    </row>
    <row r="48" spans="1:145" ht="32.1" customHeight="1">
      <c r="A48" s="187"/>
      <c r="B48" s="197" t="str">
        <f>VLOOKUP("STK",Sprachindex!A:Z,Info!$O$6,FALSE)</f>
        <v>STK</v>
      </c>
      <c r="C48" s="136"/>
      <c r="D48" s="136">
        <f>IF(N23=1,AF48,IF(N23=3,AT48,IF(N23=4,AF48,IF(N23=4,BH48,IF(N23=5,BV48,0)))))</f>
        <v>0</v>
      </c>
      <c r="E48" s="283" t="str">
        <f>VLOOKUP("PREFA Rinnenhaken für Kastenrinne",Sprachindex!A:Z,Info!$O$6,FALSE)</f>
        <v>PREFA Rinnenhaken für Kastenrinne</v>
      </c>
      <c r="F48" s="284"/>
      <c r="G48" s="284"/>
      <c r="H48" s="284"/>
      <c r="I48" s="333"/>
      <c r="J48" s="320" t="str">
        <f>Formeln!A214</f>
        <v/>
      </c>
      <c r="K48" s="321"/>
      <c r="L48" s="137" t="str">
        <f t="shared" si="0"/>
        <v/>
      </c>
      <c r="M48" s="183"/>
      <c r="N48" s="124"/>
      <c r="O48" s="25"/>
      <c r="P48" s="11"/>
      <c r="Q48" s="11" t="str">
        <f>A48 &amp;" " &amp; VLOOKUP("Stk",Sprachindex!A:Z,Info!$O$6,FALSE)</f>
        <v xml:space="preserve"> STK</v>
      </c>
      <c r="R48" s="1">
        <f>IF(OR(N23=1,N23=3),30,20)</f>
        <v>20</v>
      </c>
      <c r="T48" s="95">
        <v>525012</v>
      </c>
      <c r="U48" s="95">
        <v>525015</v>
      </c>
      <c r="V48" s="95">
        <v>525013</v>
      </c>
      <c r="W48" s="103"/>
      <c r="X48" s="95">
        <v>525014</v>
      </c>
      <c r="Y48" s="103"/>
      <c r="Z48" s="103"/>
      <c r="AA48" s="103"/>
      <c r="AB48" s="103"/>
      <c r="AC48" s="103"/>
      <c r="AD48" s="103"/>
      <c r="AE48" s="103"/>
      <c r="AF48" s="107">
        <f t="shared" si="1"/>
        <v>0</v>
      </c>
      <c r="AG48" s="107" t="s">
        <v>2329</v>
      </c>
      <c r="AH48" s="95">
        <v>525001</v>
      </c>
      <c r="AI48" s="95">
        <v>525002</v>
      </c>
      <c r="AJ48" s="95">
        <v>525006</v>
      </c>
      <c r="AK48" s="95">
        <v>525011</v>
      </c>
      <c r="AL48" s="95">
        <v>525007</v>
      </c>
      <c r="AM48" s="95">
        <v>525009</v>
      </c>
      <c r="AN48" s="95">
        <v>525017</v>
      </c>
      <c r="AO48" s="95">
        <v>525010</v>
      </c>
      <c r="AP48" s="95">
        <v>525018</v>
      </c>
      <c r="AQ48" s="95">
        <v>525020</v>
      </c>
      <c r="AR48" s="95">
        <v>525019</v>
      </c>
      <c r="AS48" s="103"/>
      <c r="AT48" s="107">
        <f>IF($N$20=1,AJ48,IF($N$20=2,AL48,IF($N$20=3,AS48,IF($N$20=4,AK48,IF($N$20=5,AN48,IF($N$20=6,AO48,IF($N$20=7,AI48,IF($N$20=8,AP48,IF($N$20=9,AM48,IF($N$20=10,AR48,IF($N$20=11,AQ48,IF($N$20=12,AH48,0))))))))))))</f>
        <v>0</v>
      </c>
      <c r="AU48" s="107" t="s">
        <v>2313</v>
      </c>
      <c r="AV48" s="95">
        <v>525003</v>
      </c>
      <c r="AW48" s="95">
        <v>525004</v>
      </c>
      <c r="AX48" s="95">
        <v>525005</v>
      </c>
      <c r="AY48" s="103"/>
      <c r="AZ48" s="95">
        <v>525008</v>
      </c>
      <c r="BA48" s="103"/>
      <c r="BB48" s="103"/>
      <c r="BC48" s="103"/>
      <c r="BD48" s="103"/>
      <c r="BE48" s="103"/>
      <c r="BF48" s="103"/>
      <c r="BG48" s="103"/>
      <c r="BH48" s="107">
        <f>IF($N$20=1,AX48,IF($N$20=2,AZ48,IF($N$20=3,BG48,IF($N$20=4,AY48,IF($N$20=5,BB48,IF($N$20=6,BC48,IF($N$20=7,AW48,IF($N$20=8,BD48,IF($N$20=9,BA48,IF($N$20=10,BF48,IF($N$20=11,BE48,IF($N$20=12,AV48,0))))))))))))</f>
        <v>0</v>
      </c>
      <c r="BI48" s="107" t="s">
        <v>2331</v>
      </c>
      <c r="BJ48" s="95">
        <v>525030</v>
      </c>
      <c r="BK48" s="95">
        <v>525033</v>
      </c>
      <c r="BL48" s="95">
        <v>525031</v>
      </c>
      <c r="BM48" s="103"/>
      <c r="BN48" s="95">
        <v>525032</v>
      </c>
      <c r="BO48" s="103"/>
      <c r="BP48" s="103"/>
      <c r="BQ48" s="103"/>
      <c r="BR48" s="103"/>
      <c r="BS48" s="103"/>
      <c r="BT48" s="103"/>
      <c r="BU48" s="103"/>
      <c r="BV48" s="107">
        <f>IF($N$20=1,BL48,IF($N$20=2,BN48,IF($N$20=3,BU48,IF($N$20=4,BM48,IF($N$20=5,BP48,IF($N$20=6,BQ48,IF($N$20=7,BK48,IF($N$20=8,BR48,IF($N$20=9,BO48,IF($N$20=10,BT48,IF($N$20=11,BS48,IF($N$20=12,BJ48,0))))))))))))</f>
        <v>0</v>
      </c>
      <c r="BW48" s="107" t="s">
        <v>2330</v>
      </c>
    </row>
    <row r="49" spans="1:89" ht="32.1" customHeight="1">
      <c r="A49" s="187"/>
      <c r="B49" s="197" t="str">
        <f>VLOOKUP("STK",Sprachindex!A:Z,Info!$O$6,FALSE)</f>
        <v>STK</v>
      </c>
      <c r="C49" s="136"/>
      <c r="D49" s="136">
        <f>IF(N23=1,AF49,IF(N23=3,AT49,0))</f>
        <v>0</v>
      </c>
      <c r="E49" s="283" t="str">
        <f>VLOOKUP("PREFA Stirnbretthaken für Kastenrinnen",Sprachindex!A:Z,Info!$O$6,FALSE)</f>
        <v>PREFA Stirnbretthaken für Kastenrinnen</v>
      </c>
      <c r="F49" s="284"/>
      <c r="G49" s="284"/>
      <c r="H49" s="284"/>
      <c r="I49" s="284"/>
      <c r="J49" s="320" t="str">
        <f>Formeln!A222</f>
        <v/>
      </c>
      <c r="K49" s="321"/>
      <c r="L49" s="137" t="str">
        <f t="shared" si="0"/>
        <v/>
      </c>
      <c r="M49" s="183"/>
      <c r="N49" s="124"/>
      <c r="O49" s="25"/>
      <c r="P49" s="11"/>
      <c r="Q49" s="11" t="str">
        <f>A49 &amp;" " &amp; VLOOKUP("Stk",Sprachindex!A:Z,Info!$O$6,FALSE)</f>
        <v xml:space="preserve"> STK</v>
      </c>
      <c r="T49" s="95">
        <v>525200</v>
      </c>
      <c r="U49" s="95">
        <v>525232</v>
      </c>
      <c r="V49" s="95">
        <v>525230</v>
      </c>
      <c r="W49" s="103"/>
      <c r="X49" s="95">
        <v>525231</v>
      </c>
      <c r="Y49" s="103"/>
      <c r="Z49" s="103"/>
      <c r="AA49" s="103"/>
      <c r="AB49" s="103"/>
      <c r="AC49" s="103"/>
      <c r="AD49" s="103"/>
      <c r="AE49" s="103"/>
      <c r="AF49" s="107">
        <f t="shared" si="1"/>
        <v>0</v>
      </c>
      <c r="AG49" s="107" t="s">
        <v>2332</v>
      </c>
      <c r="AH49" s="95">
        <v>525201</v>
      </c>
      <c r="AI49" s="95">
        <v>525212</v>
      </c>
      <c r="AJ49" s="95">
        <v>525210</v>
      </c>
      <c r="AK49" s="95">
        <v>525215</v>
      </c>
      <c r="AL49" s="95">
        <v>525211</v>
      </c>
      <c r="AM49" s="95">
        <v>525213</v>
      </c>
      <c r="AN49" s="95">
        <v>525216</v>
      </c>
      <c r="AO49" s="95">
        <v>525214</v>
      </c>
      <c r="AP49" s="95">
        <v>525217</v>
      </c>
      <c r="AQ49" s="95">
        <v>525219</v>
      </c>
      <c r="AR49" s="95">
        <v>525218</v>
      </c>
      <c r="AS49" s="103"/>
      <c r="AT49" s="107">
        <f>IF($N$20=1,AJ49,IF($N$20=2,AL49,IF($N$20=3,AS49,IF($N$20=4,AK49,IF($N$20=5,AN49,IF($N$20=6,AO49,IF($N$20=7,AI49,IF($N$20=8,AP49,IF($N$20=9,AM49,IF($N$20=10,AR49,IF($N$20=11,AQ49,IF($N$20=12,AH49,0))))))))))))</f>
        <v>0</v>
      </c>
      <c r="AU49" s="107" t="s">
        <v>2313</v>
      </c>
      <c r="BU49" s="103"/>
      <c r="BV49" s="107">
        <f>IF($N$20=1,BL49,IF($N$20=2,BN49,IF($N$20=3,BU49,IF($N$20=4,BM49,IF($N$20=5,BP49,IF($N$20=6,BQ49,IF($N$20=7,BK49,IF($N$20=8,BR49,IF($N$20=9,BO49,IF($N$20=10,BT49,IF($N$20=11,BS49,IF($N$20=12,BJ49,0))))))))))))</f>
        <v>0</v>
      </c>
      <c r="BW49" s="107" t="s">
        <v>2318</v>
      </c>
    </row>
    <row r="50" spans="1:89" ht="32.1" customHeight="1">
      <c r="A50" s="187"/>
      <c r="B50" s="197" t="str">
        <f>VLOOKUP("STK",Sprachindex!A:Z,Info!$O$6,FALSE)</f>
        <v>STK</v>
      </c>
      <c r="C50" s="136"/>
      <c r="D50" s="136">
        <f>IF(N23=1,AF50,IF(N23=3,AT50,IF(N23=4,BH50,0)))</f>
        <v>0</v>
      </c>
      <c r="E50" s="283" t="str">
        <f>VLOOKUP("PREFA Kastenrinnenendboden",Sprachindex!A:Z,Info!$O$6,FALSE)</f>
        <v>PREFA Kastenrinnenendboden</v>
      </c>
      <c r="F50" s="284"/>
      <c r="G50" s="284"/>
      <c r="H50" s="284"/>
      <c r="I50" s="284"/>
      <c r="J50" s="320" t="str">
        <f>Formeln!A226</f>
        <v/>
      </c>
      <c r="K50" s="321"/>
      <c r="L50" s="137" t="str">
        <f t="shared" si="0"/>
        <v/>
      </c>
      <c r="M50" s="183"/>
      <c r="N50" s="124"/>
      <c r="O50" s="25"/>
      <c r="P50" s="11"/>
      <c r="Q50" s="11" t="str">
        <f>A50 &amp;" " &amp; VLOOKUP("Stk",Sprachindex!A:Z,Info!$O$6,FALSE)</f>
        <v xml:space="preserve"> STK</v>
      </c>
      <c r="T50" s="95">
        <v>540009</v>
      </c>
      <c r="U50" s="95">
        <v>540013</v>
      </c>
      <c r="V50" s="95">
        <v>540011</v>
      </c>
      <c r="W50" s="103"/>
      <c r="X50" s="95">
        <v>540012</v>
      </c>
      <c r="Y50" s="103"/>
      <c r="Z50" s="103"/>
      <c r="AA50" s="103"/>
      <c r="AB50" s="103"/>
      <c r="AC50" s="103"/>
      <c r="AD50" s="103"/>
      <c r="AE50" s="103"/>
      <c r="AF50" s="107">
        <f t="shared" si="1"/>
        <v>0</v>
      </c>
      <c r="AG50" s="107" t="s">
        <v>2315</v>
      </c>
      <c r="AH50" s="95">
        <v>540003</v>
      </c>
      <c r="AI50" s="95">
        <v>540004</v>
      </c>
      <c r="AJ50" s="95">
        <v>540006</v>
      </c>
      <c r="AK50" s="95">
        <v>540016</v>
      </c>
      <c r="AL50" s="95">
        <v>540007</v>
      </c>
      <c r="AM50" s="95">
        <v>540014</v>
      </c>
      <c r="AN50" s="95">
        <v>540017</v>
      </c>
      <c r="AO50" s="95">
        <v>540015</v>
      </c>
      <c r="AP50" s="95">
        <v>540018</v>
      </c>
      <c r="AQ50" s="95">
        <v>540020</v>
      </c>
      <c r="AR50" s="95">
        <v>540019</v>
      </c>
      <c r="AS50" s="103"/>
      <c r="AT50" s="107">
        <f>IF($N$20=1,AJ50,IF($N$20=2,AL50,IF($N$20=3,AS50,IF($N$20=4,AK50,IF($N$20=5,AN50,IF($N$20=6,AO50,IF($N$20=7,AI50,IF($N$20=8,AP50,IF($N$20=9,AM50,IF($N$20=10,AR50,IF($N$20=11,AQ50,IF($N$20=12,AH50,0))))))))))))</f>
        <v>0</v>
      </c>
      <c r="AU50" s="107" t="s">
        <v>2317</v>
      </c>
      <c r="AV50" s="95">
        <v>540001</v>
      </c>
      <c r="AW50" s="95">
        <v>540002</v>
      </c>
      <c r="AX50" s="95">
        <v>540005</v>
      </c>
      <c r="AY50" s="103"/>
      <c r="AZ50" s="95">
        <v>540008</v>
      </c>
      <c r="BA50" s="103"/>
      <c r="BB50" s="103"/>
      <c r="BC50" s="103"/>
      <c r="BD50" s="103"/>
      <c r="BE50" s="103"/>
      <c r="BF50" s="103"/>
      <c r="BG50" s="103"/>
      <c r="BH50" s="107">
        <f>IF($N$20=1,AX50,IF($N$20=2,AZ50,IF($N$20=3,BG50,IF($N$20=4,AY50,IF($N$20=5,BB50,IF($N$20=6,BC50,IF($N$20=7,AW50,IF($N$20=8,BD50,IF($N$20=9,BA50,IF($N$20=10,BF50,IF($N$20=11,BE50,IF($N$20=12,AV50,0))))))))))))</f>
        <v>0</v>
      </c>
      <c r="BI50" s="107" t="s">
        <v>2318</v>
      </c>
    </row>
    <row r="51" spans="1:89" ht="32.1" customHeight="1">
      <c r="A51" s="187"/>
      <c r="B51" s="197" t="str">
        <f>VLOOKUP("STK",Sprachindex!A:Z,Info!$O$6,FALSE)</f>
        <v>STK</v>
      </c>
      <c r="C51" s="136"/>
      <c r="D51" s="136">
        <f>IF($N$23=5,AF51,0)</f>
        <v>0</v>
      </c>
      <c r="E51" s="283" t="str">
        <f>VLOOKUP("PREFA Kastenrinnenendboden 500 links",Sprachindex!A:Z,Info!$O$6,FALSE)</f>
        <v>PREFA Kastenrinnenendboden 500 links</v>
      </c>
      <c r="F51" s="284"/>
      <c r="G51" s="284"/>
      <c r="H51" s="284"/>
      <c r="I51" s="284"/>
      <c r="J51" s="320" t="str">
        <f>IF(N23=0,"",IF(N23=5,G28,Formeln!A181))</f>
        <v/>
      </c>
      <c r="K51" s="321"/>
      <c r="L51" s="137" t="str">
        <f t="shared" si="0"/>
        <v/>
      </c>
      <c r="M51" s="183"/>
      <c r="N51" s="124"/>
      <c r="O51" s="25"/>
      <c r="P51" s="11"/>
      <c r="Q51" s="11" t="str">
        <f>A51 &amp;" " &amp; VLOOKUP("Stk",Sprachindex!A:Z,Info!$O$6,FALSE)</f>
        <v xml:space="preserve"> STK</v>
      </c>
      <c r="T51" s="95">
        <v>540035</v>
      </c>
      <c r="U51" s="95">
        <v>540038</v>
      </c>
      <c r="V51" s="95">
        <v>540036</v>
      </c>
      <c r="W51" s="103"/>
      <c r="X51" s="95">
        <v>540037</v>
      </c>
      <c r="Y51" s="103"/>
      <c r="Z51" s="103"/>
      <c r="AA51" s="103"/>
      <c r="AB51" s="103"/>
      <c r="AC51" s="103"/>
      <c r="AD51" s="103"/>
      <c r="AE51" s="103"/>
      <c r="AF51" s="107">
        <f t="shared" si="1"/>
        <v>0</v>
      </c>
      <c r="AG51" s="107" t="s">
        <v>2328</v>
      </c>
    </row>
    <row r="52" spans="1:89" ht="32.1" customHeight="1">
      <c r="A52" s="187"/>
      <c r="B52" s="197" t="str">
        <f>VLOOKUP("STK",Sprachindex!A:Z,Info!$O$6,FALSE)</f>
        <v>STK</v>
      </c>
      <c r="C52" s="136"/>
      <c r="D52" s="136">
        <f>IF($N$23=5,AF52,0)</f>
        <v>0</v>
      </c>
      <c r="E52" s="283" t="str">
        <f>VLOOKUP("PREFA Kastenrinnenendboden 500 rechts",Sprachindex!A:Z,Info!$O$6,FALSE)</f>
        <v>PREFA Kastenrinnenendboden 500 rechts</v>
      </c>
      <c r="F52" s="284"/>
      <c r="G52" s="284"/>
      <c r="H52" s="284"/>
      <c r="I52" s="284"/>
      <c r="J52" s="320" t="str">
        <f>IF(N23=0,"",IF(N23=5,G28,Formeln!A181))</f>
        <v/>
      </c>
      <c r="K52" s="321"/>
      <c r="L52" s="137" t="str">
        <f t="shared" si="0"/>
        <v/>
      </c>
      <c r="M52" s="183"/>
      <c r="N52" s="124"/>
      <c r="O52" s="25"/>
      <c r="P52" s="11"/>
      <c r="Q52" s="11" t="str">
        <f>A52 &amp;" " &amp; VLOOKUP("Stk",Sprachindex!A:Z,Info!$O$6,FALSE)</f>
        <v xml:space="preserve"> STK</v>
      </c>
      <c r="T52" s="95">
        <v>540030</v>
      </c>
      <c r="U52" s="95">
        <v>540033</v>
      </c>
      <c r="V52" s="95">
        <v>540031</v>
      </c>
      <c r="W52" s="103"/>
      <c r="X52" s="95">
        <v>540032</v>
      </c>
      <c r="Y52" s="103"/>
      <c r="Z52" s="103"/>
      <c r="AA52" s="103"/>
      <c r="AB52" s="103"/>
      <c r="AC52" s="103"/>
      <c r="AD52" s="103"/>
      <c r="AE52" s="103"/>
      <c r="AF52" s="107">
        <f t="shared" si="1"/>
        <v>0</v>
      </c>
      <c r="AG52" s="107" t="s">
        <v>2328</v>
      </c>
    </row>
    <row r="53" spans="1:89" ht="32.1" customHeight="1">
      <c r="A53" s="187"/>
      <c r="B53" s="197" t="str">
        <f>VLOOKUP("STK",Sprachindex!A:Z,Info!$O$6,FALSE)</f>
        <v>STK</v>
      </c>
      <c r="C53" s="136"/>
      <c r="D53" s="136">
        <f>IF($N$23=1,AF53,IF($N$23=3,AT53,IF($N$23=4,BH53,IF($N$23=5,BV53,0))))</f>
        <v>0</v>
      </c>
      <c r="E53" s="283" t="str">
        <f>VLOOKUP("PREFA Kastenrinnenwinkel außen 90°",Sprachindex!A:Z,Info!$O$6,FALSE)</f>
        <v>PREFA Kastenrinnenwinkel außen 90°</v>
      </c>
      <c r="F53" s="284"/>
      <c r="G53" s="284"/>
      <c r="H53" s="284"/>
      <c r="I53" s="284"/>
      <c r="J53" s="320" t="str">
        <f>Formeln!A190</f>
        <v/>
      </c>
      <c r="K53" s="321"/>
      <c r="L53" s="137" t="str">
        <f t="shared" si="0"/>
        <v/>
      </c>
      <c r="M53" s="183"/>
      <c r="N53" s="124"/>
      <c r="O53" s="25"/>
      <c r="P53" s="11"/>
      <c r="Q53" s="11" t="str">
        <f>A53 &amp;" " &amp; VLOOKUP("Stk",Sprachindex!A:Z,Info!$O$6,FALSE)</f>
        <v xml:space="preserve"> STK</v>
      </c>
      <c r="R53" s="1">
        <f>IF(OR(N23=1,N23=3),4,2)</f>
        <v>2</v>
      </c>
      <c r="T53" s="95">
        <v>524021</v>
      </c>
      <c r="U53" s="95">
        <v>524020</v>
      </c>
      <c r="V53" s="95">
        <v>524022</v>
      </c>
      <c r="W53" s="103"/>
      <c r="X53" s="95">
        <v>524023</v>
      </c>
      <c r="Y53" s="103"/>
      <c r="Z53" s="103"/>
      <c r="AA53" s="103"/>
      <c r="AB53" s="103"/>
      <c r="AC53" s="103"/>
      <c r="AD53" s="103"/>
      <c r="AE53" s="103"/>
      <c r="AF53" s="107">
        <f t="shared" si="1"/>
        <v>0</v>
      </c>
      <c r="AG53" s="107" t="s">
        <v>2315</v>
      </c>
      <c r="AH53" s="95">
        <v>524008</v>
      </c>
      <c r="AI53" s="95">
        <v>524009</v>
      </c>
      <c r="AJ53" s="95">
        <v>524010</v>
      </c>
      <c r="AK53" s="95">
        <v>524029</v>
      </c>
      <c r="AL53" s="95">
        <v>524011</v>
      </c>
      <c r="AM53" s="95">
        <v>524025</v>
      </c>
      <c r="AN53" s="95">
        <v>524033</v>
      </c>
      <c r="AO53" s="95">
        <v>524027</v>
      </c>
      <c r="AP53" s="95">
        <v>524035</v>
      </c>
      <c r="AQ53" s="95">
        <v>524040</v>
      </c>
      <c r="AR53" s="95">
        <v>524038</v>
      </c>
      <c r="AS53" s="103"/>
      <c r="AT53" s="107">
        <f>IF($N$20=1,AJ53,IF($N$20=2,AL53,IF($N$20=3,AS53,IF($N$20=4,AK53,IF($N$20=5,AN53,IF($N$20=6,AO53,IF($N$20=7,AI53,IF($N$20=8,AP53,IF($N$20=9,AM53,IF($N$20=10,AR53,IF($N$20=11,AQ53,IF($N$20=12,AH53,0))))))))))))</f>
        <v>0</v>
      </c>
      <c r="AU53" s="107" t="s">
        <v>2317</v>
      </c>
      <c r="AV53" s="95">
        <v>524012</v>
      </c>
      <c r="AW53" s="95">
        <v>524013</v>
      </c>
      <c r="AX53" s="95">
        <v>524014</v>
      </c>
      <c r="AY53" s="103"/>
      <c r="AZ53" s="95">
        <v>524015</v>
      </c>
      <c r="BA53" s="103"/>
      <c r="BB53" s="103"/>
      <c r="BC53" s="103"/>
      <c r="BD53" s="103"/>
      <c r="BE53" s="103"/>
      <c r="BF53" s="103"/>
      <c r="BG53" s="103"/>
      <c r="BH53" s="107">
        <f>IF($N$20=1,AX53,IF($N$20=2,AZ53,IF($N$20=3,BG53,IF($N$20=4,AY53,IF($N$20=5,BB53,IF($N$20=6,BC53,IF($N$20=7,AW53,IF($N$20=8,BD53,IF($N$20=9,BA53,IF($N$20=10,BF53,IF($N$20=11,BE53,IF($N$20=12,AV53,0))))))))))))</f>
        <v>0</v>
      </c>
      <c r="BI53" s="107" t="s">
        <v>2318</v>
      </c>
      <c r="BJ53" s="95">
        <v>524050</v>
      </c>
      <c r="BK53" s="95">
        <v>524053</v>
      </c>
      <c r="BL53" s="95">
        <v>524051</v>
      </c>
      <c r="BM53" s="103"/>
      <c r="BN53" s="95">
        <v>524052</v>
      </c>
      <c r="BO53" s="103"/>
      <c r="BP53" s="103"/>
      <c r="BQ53" s="103"/>
      <c r="BR53" s="103"/>
      <c r="BS53" s="103"/>
      <c r="BT53" s="103"/>
      <c r="BU53" s="103"/>
      <c r="BV53" s="107">
        <f>IF($N$20=1,BL53,IF($N$20=2,BN53,IF($N$20=3,BU53,IF($N$20=4,BM53,IF($N$20=5,BP53,IF($N$20=6,BQ53,IF($N$20=7,BK53,IF($N$20=8,BR53,IF($N$20=9,BO53,IF($N$20=10,BT53,IF($N$20=11,BS53,IF($N$20=12,BJ53,0))))))))))))</f>
        <v>0</v>
      </c>
      <c r="BW53" s="107" t="s">
        <v>2328</v>
      </c>
    </row>
    <row r="54" spans="1:89" ht="32.1" customHeight="1">
      <c r="A54" s="187"/>
      <c r="B54" s="197" t="str">
        <f>VLOOKUP("STK",Sprachindex!A:Z,Info!$O$6,FALSE)</f>
        <v>STK</v>
      </c>
      <c r="C54" s="136"/>
      <c r="D54" s="136">
        <f>IF($N$23=1,AF54,IF($N$23=3,AT54,IF($N$23=4,BH54,IF($N$23=5,BV54,0))))</f>
        <v>0</v>
      </c>
      <c r="E54" s="283" t="str">
        <f>VLOOKUP("PREFA Kastenrinnenwinkel innen 90°",Sprachindex!A:Z,Info!$O$6,FALSE)</f>
        <v>PREFA Kastenrinnenwinkel innen 90°</v>
      </c>
      <c r="F54" s="284"/>
      <c r="G54" s="284"/>
      <c r="H54" s="284"/>
      <c r="I54" s="284"/>
      <c r="J54" s="320" t="str">
        <f>Formeln!A190</f>
        <v/>
      </c>
      <c r="K54" s="321"/>
      <c r="L54" s="137" t="str">
        <f t="shared" si="0"/>
        <v/>
      </c>
      <c r="M54" s="183"/>
      <c r="N54" s="124"/>
      <c r="O54" s="25"/>
      <c r="P54" s="11"/>
      <c r="Q54" s="11" t="str">
        <f>A54 &amp;" " &amp; VLOOKUP("Stk",Sprachindex!A:Z,Info!$O$6,FALSE)</f>
        <v xml:space="preserve"> STK</v>
      </c>
      <c r="R54" s="1">
        <f>IF(OR(N24=1,N24=3),4,2)</f>
        <v>2</v>
      </c>
      <c r="T54" s="95">
        <v>524017</v>
      </c>
      <c r="U54" s="95">
        <v>524018</v>
      </c>
      <c r="V54" s="95">
        <v>524024</v>
      </c>
      <c r="W54" s="103"/>
      <c r="X54" s="95">
        <v>524019</v>
      </c>
      <c r="Y54" s="103"/>
      <c r="Z54" s="103"/>
      <c r="AA54" s="103"/>
      <c r="AB54" s="103"/>
      <c r="AC54" s="103"/>
      <c r="AD54" s="103"/>
      <c r="AE54" s="103"/>
      <c r="AF54" s="107">
        <f t="shared" si="1"/>
        <v>0</v>
      </c>
      <c r="AG54" s="107" t="s">
        <v>2315</v>
      </c>
      <c r="AH54" s="95">
        <v>524002</v>
      </c>
      <c r="AI54" s="95">
        <v>524003</v>
      </c>
      <c r="AJ54" s="95">
        <v>524004</v>
      </c>
      <c r="AK54" s="95">
        <v>524030</v>
      </c>
      <c r="AL54" s="95">
        <v>524007</v>
      </c>
      <c r="AM54" s="95">
        <v>524026</v>
      </c>
      <c r="AN54" s="95">
        <v>524034</v>
      </c>
      <c r="AO54" s="95">
        <v>524028</v>
      </c>
      <c r="AP54" s="95">
        <v>524036</v>
      </c>
      <c r="AQ54" s="95">
        <v>524039</v>
      </c>
      <c r="AR54" s="95">
        <v>524037</v>
      </c>
      <c r="AS54" s="103"/>
      <c r="AT54" s="107">
        <f>IF($N$20=1,AJ54,IF($N$20=2,AL54,IF($N$20=3,AS54,IF($N$20=4,AK54,IF($N$20=5,AN54,IF($N$20=6,AO54,IF($N$20=7,AI54,IF($N$20=8,AP54,IF($N$20=9,AM54,IF($N$20=10,AR54,IF($N$20=11,AQ54,IF($N$20=12,AH54,0))))))))))))</f>
        <v>0</v>
      </c>
      <c r="AU54" s="107" t="s">
        <v>2317</v>
      </c>
      <c r="AV54" s="95">
        <v>524005</v>
      </c>
      <c r="AW54" s="95">
        <v>524006</v>
      </c>
      <c r="AX54" s="95">
        <v>524001</v>
      </c>
      <c r="AY54" s="103"/>
      <c r="AZ54" s="95">
        <v>524016</v>
      </c>
      <c r="BA54" s="103"/>
      <c r="BB54" s="103"/>
      <c r="BC54" s="103"/>
      <c r="BD54" s="103"/>
      <c r="BE54" s="103"/>
      <c r="BF54" s="103"/>
      <c r="BG54" s="103"/>
      <c r="BH54" s="107">
        <f>IF($N$20=1,AX54,IF($N$20=2,AZ54,IF($N$20=3,BG54,IF($N$20=4,AY54,IF($N$20=5,BB54,IF($N$20=6,BC54,IF($N$20=7,AW54,IF($N$20=8,BD54,IF($N$20=9,BA54,IF($N$20=10,BF54,IF($N$20=11,BE54,IF($N$20=12,AV54,0))))))))))))</f>
        <v>0</v>
      </c>
      <c r="BI54" s="107" t="s">
        <v>2318</v>
      </c>
      <c r="BJ54" s="95">
        <v>524060</v>
      </c>
      <c r="BK54" s="95">
        <v>524063</v>
      </c>
      <c r="BL54" s="95">
        <v>524061</v>
      </c>
      <c r="BM54" s="103"/>
      <c r="BN54" s="95">
        <v>524062</v>
      </c>
      <c r="BO54" s="103"/>
      <c r="BP54" s="103"/>
      <c r="BQ54" s="103"/>
      <c r="BR54" s="103"/>
      <c r="BS54" s="103"/>
      <c r="BT54" s="103"/>
      <c r="BU54" s="103"/>
      <c r="BV54" s="107">
        <f>IF($N$20=1,BL54,IF($N$20=2,BN54,IF($N$20=3,BU54,IF($N$20=4,BM54,IF($N$20=5,BP54,IF($N$20=6,BQ54,IF($N$20=7,BK54,IF($N$20=8,BR54,IF($N$20=9,BO54,IF($N$20=10,BT54,IF($N$20=11,BS54,IF($N$20=12,BJ54,0))))))))))))</f>
        <v>0</v>
      </c>
      <c r="BW54" s="107" t="s">
        <v>2328</v>
      </c>
    </row>
    <row r="55" spans="1:89" ht="32.1" customHeight="1">
      <c r="A55" s="187"/>
      <c r="B55" s="197" t="str">
        <f>VLOOKUP("STK",Sprachindex!A:Z,Info!$O$6,FALSE)</f>
        <v>STK</v>
      </c>
      <c r="C55" s="136"/>
      <c r="D55" s="136">
        <f>IF(AND(N23=1,N24=2),AF55,IF(AND(N23=3,N24=3),AT55,IF(AND(N23=4,N24=4),BH55,IF(AND(N23=5,N24=4),BV55,IF(AND(N23=5,N24=5),CJ55,0)))))</f>
        <v>0</v>
      </c>
      <c r="E55" s="283" t="str">
        <f>VLOOKUP("PREFA Kastenrinnenkessel",Sprachindex!A:Z,Info!$O$6,FALSE)</f>
        <v>PREFA Kastenrinnenkessel</v>
      </c>
      <c r="F55" s="284"/>
      <c r="G55" s="284"/>
      <c r="H55" s="284"/>
      <c r="I55" s="189"/>
      <c r="J55" s="328" t="str">
        <f>Formeln!A229</f>
        <v/>
      </c>
      <c r="K55" s="329"/>
      <c r="L55" s="137" t="str">
        <f t="shared" si="0"/>
        <v/>
      </c>
      <c r="M55" s="183"/>
      <c r="N55" s="124"/>
      <c r="O55" s="25"/>
      <c r="P55" s="11"/>
      <c r="Q55" s="11" t="str">
        <f>A55 &amp;" " &amp; VLOOKUP("Stk",Sprachindex!A:Z,Info!$O$6,FALSE)</f>
        <v xml:space="preserve"> STK</v>
      </c>
      <c r="R55" s="1">
        <f>IF(OR(N23=1,N23=4),6,IF(N23=3,10,4))</f>
        <v>4</v>
      </c>
      <c r="T55" s="95">
        <v>548013</v>
      </c>
      <c r="U55" s="95">
        <v>548017</v>
      </c>
      <c r="V55" s="95">
        <v>548015</v>
      </c>
      <c r="W55" s="103"/>
      <c r="X55" s="95">
        <v>548016</v>
      </c>
      <c r="Y55" s="103"/>
      <c r="Z55" s="103"/>
      <c r="AA55" s="103"/>
      <c r="AB55" s="103"/>
      <c r="AC55" s="103"/>
      <c r="AD55" s="103"/>
      <c r="AE55" s="103"/>
      <c r="AF55" s="107">
        <f t="shared" si="1"/>
        <v>0</v>
      </c>
      <c r="AG55" s="107" t="s">
        <v>2320</v>
      </c>
      <c r="AH55" s="95">
        <v>548003</v>
      </c>
      <c r="AI55" s="95">
        <v>548004</v>
      </c>
      <c r="AJ55" s="95">
        <v>548006</v>
      </c>
      <c r="AK55" s="95">
        <v>548020</v>
      </c>
      <c r="AL55" s="95">
        <v>548007</v>
      </c>
      <c r="AM55" s="95">
        <v>548018</v>
      </c>
      <c r="AN55" s="95">
        <v>548022</v>
      </c>
      <c r="AO55" s="95">
        <v>548019</v>
      </c>
      <c r="AP55" s="95">
        <v>548023</v>
      </c>
      <c r="AQ55" s="95">
        <v>548025</v>
      </c>
      <c r="AR55" s="95">
        <v>548024</v>
      </c>
      <c r="AS55" s="103"/>
      <c r="AT55" s="107">
        <f>IF($N$20=1,AJ55,IF($N$20=2,AL55,IF($N$20=3,AS55,IF($N$20=4,AK55,IF($N$20=5,AN55,IF($N$20=6,AO55,IF($N$20=7,AI55,IF($N$20=8,AP55,IF($N$20=9,AM55,IF($N$20=10,AR55,IF($N$20=11,AQ55,IF($N$20=12,AH55,0))))))))))))</f>
        <v>0</v>
      </c>
      <c r="AU55" s="107" t="s">
        <v>2323</v>
      </c>
      <c r="AV55" s="95">
        <v>548001</v>
      </c>
      <c r="AW55" s="95">
        <v>548002</v>
      </c>
      <c r="AX55" s="95">
        <v>548005</v>
      </c>
      <c r="AY55" s="103"/>
      <c r="AZ55" s="95">
        <v>548012</v>
      </c>
      <c r="BA55" s="103"/>
      <c r="BB55" s="103"/>
      <c r="BC55" s="103"/>
      <c r="BD55" s="103"/>
      <c r="BE55" s="103"/>
      <c r="BF55" s="103"/>
      <c r="BG55" s="103"/>
      <c r="BH55" s="107">
        <f>IF($N$20=1,AX55,IF($N$20=2,AZ55,IF($N$20=3,BG55,IF($N$20=4,AY55,IF($N$20=5,BB55,IF($N$20=6,BC55,IF($N$20=7,AW55,IF($N$20=8,BD55,IF($N$20=9,BA55,IF($N$20=10,BF55,IF($N$20=11,BE55,IF($N$20=12,AV55,0))))))))))))</f>
        <v>0</v>
      </c>
      <c r="BI55" s="107" t="s">
        <v>2325</v>
      </c>
      <c r="BJ55" s="95">
        <v>548040</v>
      </c>
      <c r="BK55" s="95">
        <v>548043</v>
      </c>
      <c r="BL55" s="95">
        <v>548041</v>
      </c>
      <c r="BM55" s="103"/>
      <c r="BN55" s="95">
        <v>548042</v>
      </c>
      <c r="BO55" s="103"/>
      <c r="BP55" s="103"/>
      <c r="BQ55" s="103"/>
      <c r="BR55" s="103"/>
      <c r="BS55" s="103"/>
      <c r="BT55" s="103"/>
      <c r="BU55" s="103"/>
      <c r="BV55" s="107">
        <f>IF($N$20=1,BL55,IF($N$20=2,BN55,IF($N$20=3,BU55,IF($N$20=4,BM55,IF($N$20=5,BP55,IF($N$20=6,BQ55,IF($N$20=7,BK55,IF($N$20=8,BR55,IF($N$20=9,BO55,IF($N$20=10,BT55,IF($N$20=11,BS55,IF($N$20=12,BJ55,0))))))))))))</f>
        <v>0</v>
      </c>
      <c r="BW55" s="107" t="s">
        <v>2333</v>
      </c>
      <c r="BX55" s="95">
        <v>548030</v>
      </c>
      <c r="BY55" s="95">
        <v>548033</v>
      </c>
      <c r="BZ55" s="95">
        <v>548031</v>
      </c>
      <c r="CA55" s="103"/>
      <c r="CB55" s="95">
        <v>548032</v>
      </c>
      <c r="CC55" s="103"/>
      <c r="CD55" s="103"/>
      <c r="CE55" s="103"/>
      <c r="CF55" s="103"/>
      <c r="CG55" s="103"/>
      <c r="CH55" s="103"/>
      <c r="CI55" s="103"/>
      <c r="CJ55" s="107">
        <f>IF($N$20=1,BZ55,IF($N$20=2,CB55,IF($N$20=3,CI55,IF($N$20=4,CA55,IF($N$20=5,CD55,IF($N$20=6,CE55,IF($N$20=7,BY55,IF($N$20=8,CF55,IF($N$20=9,CC55,IF($N$20=10,CH55,IF($N$20=11,CG55,IF($N$20=12,BX55,0))))))))))))</f>
        <v>0</v>
      </c>
      <c r="CK55" s="107" t="s">
        <v>2334</v>
      </c>
    </row>
    <row r="56" spans="1:89" ht="32.1" customHeight="1">
      <c r="A56" s="187"/>
      <c r="B56" s="197" t="str">
        <f>VLOOKUP("lfm",Sprachindex!A:Z,Info!$O$6,FALSE)</f>
        <v>lfm</v>
      </c>
      <c r="C56" s="136"/>
      <c r="D56" s="136">
        <f>AF56</f>
        <v>0</v>
      </c>
      <c r="E56" s="283" t="str">
        <f>VLOOKUP("PREFA Saumrinne mit Schutzfolie aussen",Sprachindex!A:Z,Info!$O$6,FALSE)</f>
        <v>PREFA Saumrinne mit Schutzfolie aussen</v>
      </c>
      <c r="F56" s="284"/>
      <c r="G56" s="284"/>
      <c r="H56" s="284"/>
      <c r="I56" s="284"/>
      <c r="J56" s="320" t="str">
        <f>VLOOKUP("700 × 1,0 mm",Sprachindex!A:Z,Info!$O$6,FALSE)</f>
        <v>700 × 1,0 mm</v>
      </c>
      <c r="K56" s="321"/>
      <c r="L56" s="137" t="str">
        <f t="shared" si="0"/>
        <v/>
      </c>
      <c r="M56" s="183"/>
      <c r="N56" s="124"/>
      <c r="O56" s="25"/>
      <c r="P56" s="11"/>
      <c r="Q56" s="11" t="str">
        <f>A56 &amp;" " &amp; VLOOKUP("lfm",Sprachindex!A:Z,Info!$O$6,FALSE)</f>
        <v xml:space="preserve"> lfm</v>
      </c>
      <c r="T56" s="95">
        <v>575002</v>
      </c>
      <c r="U56" s="95">
        <v>575001</v>
      </c>
      <c r="V56" s="95">
        <v>575005</v>
      </c>
      <c r="W56" s="95">
        <v>575010</v>
      </c>
      <c r="X56" s="95">
        <v>575006</v>
      </c>
      <c r="Y56" s="95">
        <v>575009</v>
      </c>
      <c r="Z56" s="95">
        <v>575011</v>
      </c>
      <c r="AA56" s="95">
        <v>575008</v>
      </c>
      <c r="AB56" s="95">
        <v>575012</v>
      </c>
      <c r="AC56" s="103"/>
      <c r="AD56" s="103"/>
      <c r="AE56" s="103"/>
      <c r="AF56" s="107">
        <f t="shared" si="1"/>
        <v>0</v>
      </c>
      <c r="AG56" s="107"/>
    </row>
    <row r="57" spans="1:89" ht="32.1" customHeight="1">
      <c r="A57" s="187"/>
      <c r="B57" s="197" t="str">
        <f>VLOOKUP("STK",Sprachindex!A:Z,Info!$O$6,FALSE)</f>
        <v>STK</v>
      </c>
      <c r="C57" s="136"/>
      <c r="D57" s="136">
        <f>AF57</f>
        <v>0</v>
      </c>
      <c r="E57" s="283" t="str">
        <f>VLOOKUP("PREFA Saumrinnenendboden",Sprachindex!A:Z,Info!$O$6,FALSE)</f>
        <v>PREFA Saumrinnenendboden</v>
      </c>
      <c r="F57" s="284"/>
      <c r="G57" s="284"/>
      <c r="H57" s="284"/>
      <c r="I57" s="284"/>
      <c r="J57" s="320"/>
      <c r="K57" s="321"/>
      <c r="L57" s="137" t="str">
        <f t="shared" si="0"/>
        <v/>
      </c>
      <c r="M57" s="183"/>
      <c r="N57" s="124"/>
      <c r="O57" s="25"/>
      <c r="P57" s="11"/>
      <c r="Q57" s="11" t="str">
        <f>A57 &amp;" " &amp; VLOOKUP("Stk",Sprachindex!A:Z,Info!$O$6,FALSE)</f>
        <v xml:space="preserve"> STK</v>
      </c>
      <c r="T57" s="95">
        <v>517300</v>
      </c>
      <c r="U57" s="95">
        <v>517303</v>
      </c>
      <c r="V57" s="95">
        <v>517301</v>
      </c>
      <c r="W57" s="95">
        <v>517304</v>
      </c>
      <c r="X57" s="95">
        <v>517302</v>
      </c>
      <c r="Y57" s="95">
        <v>517308</v>
      </c>
      <c r="Z57" s="95">
        <v>517305</v>
      </c>
      <c r="AA57" s="95">
        <v>517306</v>
      </c>
      <c r="AB57" s="95">
        <v>517307</v>
      </c>
      <c r="AC57" s="103"/>
      <c r="AD57" s="103"/>
      <c r="AE57" s="103"/>
      <c r="AF57" s="107">
        <f t="shared" si="1"/>
        <v>0</v>
      </c>
      <c r="AG57" s="107"/>
    </row>
    <row r="58" spans="1:89" ht="32.1" customHeight="1">
      <c r="A58" s="187"/>
      <c r="B58" s="197" t="str">
        <f>VLOOKUP("STK",Sprachindex!A:Z,Info!$O$6,FALSE)</f>
        <v>STK</v>
      </c>
      <c r="C58" s="136"/>
      <c r="D58" s="136">
        <f>AF58</f>
        <v>0</v>
      </c>
      <c r="E58" s="283" t="str">
        <f>VLOOKUP("PREFA Saumrinnenstutzen",Sprachindex!A:Z,Info!$O$6,FALSE)</f>
        <v>PREFA Saumrinnenstutzen</v>
      </c>
      <c r="F58" s="284"/>
      <c r="G58" s="284"/>
      <c r="H58" s="284"/>
      <c r="I58" s="284"/>
      <c r="J58" s="320" t="str">
        <f>VLOOKUP("100 ⌀",Sprachindex!A:Z,Info!$O$6,FALSE)</f>
        <v>100 ⌀</v>
      </c>
      <c r="K58" s="321"/>
      <c r="L58" s="137" t="str">
        <f t="shared" si="0"/>
        <v/>
      </c>
      <c r="M58" s="183"/>
      <c r="N58" s="124"/>
      <c r="O58" s="25"/>
      <c r="P58" s="11"/>
      <c r="Q58" s="11" t="str">
        <f>A58 &amp;" " &amp; VLOOKUP("Stk",Sprachindex!A:Z,Info!$O$6,FALSE)</f>
        <v xml:space="preserve"> STK</v>
      </c>
      <c r="T58" s="95">
        <v>520200</v>
      </c>
      <c r="U58" s="95">
        <v>520203</v>
      </c>
      <c r="V58" s="95">
        <v>520201</v>
      </c>
      <c r="W58" s="95">
        <v>520206</v>
      </c>
      <c r="X58" s="95">
        <v>520202</v>
      </c>
      <c r="Y58" s="95">
        <v>520205</v>
      </c>
      <c r="Z58" s="95">
        <v>520207</v>
      </c>
      <c r="AA58" s="95">
        <v>520204</v>
      </c>
      <c r="AB58" s="95">
        <v>520208</v>
      </c>
      <c r="AC58" s="103"/>
      <c r="AD58" s="103"/>
      <c r="AE58" s="103"/>
      <c r="AF58" s="107">
        <f t="shared" si="1"/>
        <v>0</v>
      </c>
      <c r="AG58" s="107"/>
    </row>
    <row r="59" spans="1:89" ht="32.1" customHeight="1">
      <c r="A59" s="187"/>
      <c r="B59" s="197" t="str">
        <f>VLOOKUP("STK",Sprachindex!A:Z,Info!$O$6,FALSE)</f>
        <v>STK</v>
      </c>
      <c r="C59" s="136"/>
      <c r="D59" s="136">
        <f>AF59</f>
        <v>0</v>
      </c>
      <c r="E59" s="283" t="str">
        <f>VLOOKUP("PREFA Saumrinnenhaken",Sprachindex!A:Z,Info!$O$6,FALSE)</f>
        <v>PREFA Saumrinnenhaken</v>
      </c>
      <c r="F59" s="284"/>
      <c r="G59" s="284"/>
      <c r="H59" s="284"/>
      <c r="I59" s="284"/>
      <c r="J59" s="320" t="str">
        <f>VLOOKUP("28 × 7 mm",Sprachindex!A:Z,Info!$O$6,FALSE)</f>
        <v>28 × 7 mm</v>
      </c>
      <c r="K59" s="321"/>
      <c r="L59" s="137" t="str">
        <f t="shared" si="0"/>
        <v/>
      </c>
      <c r="M59" s="183"/>
      <c r="N59" s="124"/>
      <c r="O59" s="25"/>
      <c r="P59" s="11"/>
      <c r="Q59" s="11" t="str">
        <f>A59 &amp;" " &amp; VLOOKUP("Stk",Sprachindex!A:Z,Info!$O$6,FALSE)</f>
        <v xml:space="preserve"> STK</v>
      </c>
      <c r="T59" s="95">
        <v>523003</v>
      </c>
      <c r="U59" s="95">
        <v>523004</v>
      </c>
      <c r="V59" s="95">
        <v>523005</v>
      </c>
      <c r="W59" s="95">
        <v>523009</v>
      </c>
      <c r="X59" s="95">
        <v>523006</v>
      </c>
      <c r="Y59" s="95">
        <v>523007</v>
      </c>
      <c r="Z59" s="95">
        <v>523010</v>
      </c>
      <c r="AA59" s="95">
        <v>523008</v>
      </c>
      <c r="AB59" s="95">
        <v>523011</v>
      </c>
      <c r="AC59" s="103"/>
      <c r="AD59" s="103"/>
      <c r="AE59" s="103"/>
      <c r="AF59" s="107">
        <f t="shared" si="1"/>
        <v>0</v>
      </c>
      <c r="AG59" s="107"/>
    </row>
    <row r="60" spans="1:89" ht="32.1" customHeight="1">
      <c r="A60" s="187"/>
      <c r="B60" s="197" t="str">
        <f>VLOOKUP("lfm",Sprachindex!A:Z,Info!$O$6,FALSE)</f>
        <v>lfm</v>
      </c>
      <c r="C60" s="136"/>
      <c r="D60" s="136">
        <f>IF($N$24=2,AF60,IF($N$24=3,AT60,IF($N$24=4,BH60,IF($N$24=5,BV60,0))))</f>
        <v>0</v>
      </c>
      <c r="E60" s="283" t="str">
        <f>VLOOKUP("PREFA Ablaufrohre",Sprachindex!A:Z,Info!$O$6,FALSE)</f>
        <v>PREFA Ablaufrohre</v>
      </c>
      <c r="F60" s="284"/>
      <c r="G60" s="284"/>
      <c r="H60" s="284"/>
      <c r="I60" s="284"/>
      <c r="J60" s="320" t="str">
        <f>Formeln!A234</f>
        <v/>
      </c>
      <c r="K60" s="321"/>
      <c r="L60" s="137" t="str">
        <f t="shared" si="0"/>
        <v/>
      </c>
      <c r="M60" s="183"/>
      <c r="N60" s="124"/>
      <c r="O60" s="25"/>
      <c r="P60" s="11"/>
      <c r="Q60" s="11" t="str">
        <f>ROUNDUP(A60/3,0)*3 &amp;" " &amp; VLOOKUP("lfm",Sprachindex!A:Z,Info!$O$6,FALSE)</f>
        <v>0 lfm</v>
      </c>
      <c r="R60" s="1">
        <f>IF(N24=2,60,IF(N24=3,39,IF(N24=4,24,18)))</f>
        <v>18</v>
      </c>
      <c r="T60" s="95">
        <v>574012</v>
      </c>
      <c r="U60" s="95">
        <v>574013</v>
      </c>
      <c r="V60" s="95">
        <v>574009</v>
      </c>
      <c r="W60" s="95">
        <v>574021</v>
      </c>
      <c r="X60" s="95">
        <v>574015</v>
      </c>
      <c r="Y60" s="95">
        <v>574020</v>
      </c>
      <c r="Z60" s="95">
        <v>574027</v>
      </c>
      <c r="AA60" s="95">
        <v>574024</v>
      </c>
      <c r="AB60" s="95">
        <v>574036</v>
      </c>
      <c r="AC60" s="95">
        <v>574042</v>
      </c>
      <c r="AD60" s="95">
        <v>574039</v>
      </c>
      <c r="AE60" s="103"/>
      <c r="AF60" s="107">
        <f t="shared" si="1"/>
        <v>0</v>
      </c>
      <c r="AG60" s="107">
        <v>80</v>
      </c>
      <c r="AH60" s="95">
        <v>574005</v>
      </c>
      <c r="AI60" s="95">
        <v>574006</v>
      </c>
      <c r="AJ60" s="95">
        <v>574003</v>
      </c>
      <c r="AK60" s="95">
        <v>574019</v>
      </c>
      <c r="AL60" s="95">
        <v>574001</v>
      </c>
      <c r="AM60" s="95">
        <v>574018</v>
      </c>
      <c r="AN60" s="95">
        <v>574028</v>
      </c>
      <c r="AO60" s="95">
        <v>574025</v>
      </c>
      <c r="AP60" s="95">
        <v>574030</v>
      </c>
      <c r="AQ60" s="95">
        <v>574038</v>
      </c>
      <c r="AR60" s="95">
        <v>574040</v>
      </c>
      <c r="AS60" s="103"/>
      <c r="AT60" s="107">
        <f>IF($N$20=1,AJ60,IF($N$20=2,AL60,IF($N$20=3,AS60,IF($N$20=4,AK60,IF($N$20=5,AN60,IF($N$20=6,AO60,IF($N$20=7,AI60,IF($N$20=8,AP60,IF($N$20=9,AM60,IF($N$20=10,AR60,IF($N$20=11,AQ60,IF($N$20=12,AH60,0))))))))))))</f>
        <v>0</v>
      </c>
      <c r="AU60" s="107">
        <v>100</v>
      </c>
      <c r="AV60" s="95">
        <v>574007</v>
      </c>
      <c r="AW60" s="95">
        <v>574004</v>
      </c>
      <c r="AX60" s="95">
        <v>574010</v>
      </c>
      <c r="AY60" s="95">
        <v>574023</v>
      </c>
      <c r="AZ60" s="95">
        <v>574011</v>
      </c>
      <c r="BA60" s="95">
        <v>574022</v>
      </c>
      <c r="BB60" s="95">
        <v>574029</v>
      </c>
      <c r="BC60" s="95">
        <v>574026</v>
      </c>
      <c r="BD60" s="95">
        <v>574037</v>
      </c>
      <c r="BE60" s="95">
        <v>574043</v>
      </c>
      <c r="BF60" s="95">
        <v>574041</v>
      </c>
      <c r="BG60" s="103"/>
      <c r="BH60" s="107">
        <f>IF($N$20=1,AX60,IF($N$20=2,AZ60,IF($N$20=3,BG60,IF($N$20=4,AY60,IF($N$20=5,BB60,IF($N$20=6,BC60,IF($N$20=7,AW60,IF($N$20=8,BD60,IF($N$20=9,BA60,IF($N$20=10,BF60,IF($N$20=11,BE60,IF($N$20=12,AV60,0))))))))))))</f>
        <v>0</v>
      </c>
      <c r="BI60" s="107">
        <v>120</v>
      </c>
      <c r="BJ60" s="95">
        <v>574008</v>
      </c>
      <c r="BK60" s="95">
        <v>574002</v>
      </c>
      <c r="BL60" s="95">
        <v>574014</v>
      </c>
      <c r="BM60" s="103"/>
      <c r="BN60" s="95">
        <v>574017</v>
      </c>
      <c r="BO60" s="103"/>
      <c r="BP60" s="103"/>
      <c r="BQ60" s="103"/>
      <c r="BR60" s="103"/>
      <c r="BS60" s="103"/>
      <c r="BT60" s="103"/>
      <c r="BU60" s="103"/>
      <c r="BV60" s="107">
        <f>IF($N$20=1,BL60,IF($N$20=2,BN60,IF($N$20=3,BU60,IF($N$20=4,BM60,IF($N$20=5,BP60,IF($N$20=6,BQ60,IF($N$20=7,BK60,IF($N$20=8,BR60,IF($N$20=9,BO60,IF($N$20=10,BT60,IF($N$20=11,BS60,IF($N$20=12,BJ60,0))))))))))))</f>
        <v>0</v>
      </c>
      <c r="BW60" s="107">
        <v>150</v>
      </c>
    </row>
    <row r="61" spans="1:89" ht="32.1" customHeight="1">
      <c r="A61" s="187"/>
      <c r="B61" s="197" t="str">
        <f>VLOOKUP("STK",Sprachindex!A:Z,Info!$O$6,FALSE)</f>
        <v>STK</v>
      </c>
      <c r="C61" s="136"/>
      <c r="D61" s="136">
        <f>IF(N24=1,AF61,0)</f>
        <v>0</v>
      </c>
      <c r="E61" s="283" t="str">
        <f>VLOOKUP("PREFA Ablaufrohr DN 60 geschweißt",Sprachindex!A:Z,Info!$O$6,FALSE)</f>
        <v>PREFA Ablaufrohr DN 60 geschweißt</v>
      </c>
      <c r="F61" s="284"/>
      <c r="G61" s="284"/>
      <c r="H61" s="284"/>
      <c r="I61" s="284"/>
      <c r="J61" s="320" t="str">
        <f>Formeln!A252</f>
        <v>60 ⌀ × 3.000 mm</v>
      </c>
      <c r="K61" s="321"/>
      <c r="L61" s="137" t="str">
        <f t="shared" si="0"/>
        <v/>
      </c>
      <c r="M61" s="183"/>
      <c r="N61" s="124"/>
      <c r="O61" s="25"/>
      <c r="P61" s="11"/>
      <c r="Q61" s="11" t="str">
        <f>ROUNDUP(A61/3,0)*3 &amp;" " &amp; VLOOKUP("lfm",Sprachindex!A:Z,Info!$O$6,FALSE)</f>
        <v>0 lfm</v>
      </c>
      <c r="T61" s="95">
        <v>574061</v>
      </c>
      <c r="U61" s="95">
        <v>574064</v>
      </c>
      <c r="V61" s="95">
        <v>574062</v>
      </c>
      <c r="W61" s="103"/>
      <c r="X61" s="95">
        <v>574063</v>
      </c>
      <c r="Y61" s="103"/>
      <c r="Z61" s="103"/>
      <c r="AA61" s="103"/>
      <c r="AB61" s="103"/>
      <c r="AC61" s="103"/>
      <c r="AD61" s="103"/>
      <c r="AE61" s="103"/>
      <c r="AF61" s="107">
        <f t="shared" si="1"/>
        <v>0</v>
      </c>
      <c r="AG61" s="107">
        <v>60</v>
      </c>
    </row>
    <row r="62" spans="1:89" ht="32.1" customHeight="1">
      <c r="A62" s="187"/>
      <c r="B62" s="197" t="str">
        <f>VLOOKUP("STK",Sprachindex!A:Z,Info!$O$6,FALSE)</f>
        <v>STK</v>
      </c>
      <c r="C62" s="136"/>
      <c r="D62" s="136">
        <f>IF($N$24=3,AF62,0)</f>
        <v>0</v>
      </c>
      <c r="E62" s="283" t="str">
        <f>VLOOKUP("PREFA Ablaufrohr 1,6 mm DN 100",Sprachindex!A:Z,Info!$O$6,FALSE)</f>
        <v>PREFA Ablaufrohr 1,6 mm DN 100</v>
      </c>
      <c r="F62" s="284"/>
      <c r="G62" s="284"/>
      <c r="H62" s="284"/>
      <c r="I62" s="284"/>
      <c r="J62" s="320" t="str">
        <f>Formeln!A255</f>
        <v>100 ⌀ × 1.450 mm</v>
      </c>
      <c r="K62" s="321"/>
      <c r="L62" s="137" t="str">
        <f t="shared" si="0"/>
        <v/>
      </c>
      <c r="M62" s="183"/>
      <c r="N62" s="124"/>
      <c r="O62" s="25"/>
      <c r="P62" s="11"/>
      <c r="Q62" s="11" t="str">
        <f>A62 &amp;" " &amp; VLOOKUP("Stk",Sprachindex!A:Z,Info!$O$6,FALSE)</f>
        <v xml:space="preserve"> STK</v>
      </c>
      <c r="T62" s="95">
        <v>668400</v>
      </c>
      <c r="U62" s="95">
        <v>668403</v>
      </c>
      <c r="V62" s="95">
        <v>668401</v>
      </c>
      <c r="W62" s="95">
        <v>668405</v>
      </c>
      <c r="X62" s="95">
        <v>668402</v>
      </c>
      <c r="Y62" s="95">
        <v>668407</v>
      </c>
      <c r="Z62" s="95">
        <v>668406</v>
      </c>
      <c r="AA62" s="95">
        <v>668404</v>
      </c>
      <c r="AB62" s="95">
        <v>668408</v>
      </c>
      <c r="AC62" s="95">
        <v>668409</v>
      </c>
      <c r="AD62" s="95">
        <v>668410</v>
      </c>
      <c r="AE62" s="103"/>
      <c r="AF62" s="107">
        <f t="shared" si="1"/>
        <v>0</v>
      </c>
      <c r="AG62" s="107"/>
    </row>
    <row r="63" spans="1:89" ht="32.1" customHeight="1">
      <c r="A63" s="187"/>
      <c r="B63" s="197" t="str">
        <f>VLOOKUP("STK",Sprachindex!A:Z,Info!$O$6,FALSE)</f>
        <v>STK</v>
      </c>
      <c r="C63" s="136"/>
      <c r="D63" s="136">
        <f>IF($N$24=2,AF63,IF($N$24=3,AT63,IF($N$24=4,BH63,IF($N$24=5,BV63,IF($N$24=1,CJ63,0)))))</f>
        <v>0</v>
      </c>
      <c r="E63" s="283" t="str">
        <f>VLOOKUP("PREFA Rohrschelle mit M10 Gewinde ohne Dorn",Sprachindex!A:Z,Info!$O$6,FALSE)</f>
        <v>PREFA Rohrschelle mit M10 Gewinde ohne Dorn</v>
      </c>
      <c r="F63" s="284"/>
      <c r="G63" s="284"/>
      <c r="H63" s="284"/>
      <c r="I63" s="284"/>
      <c r="J63" s="320" t="str">
        <f>Formeln!A237</f>
        <v/>
      </c>
      <c r="K63" s="321"/>
      <c r="L63" s="137" t="str">
        <f t="shared" si="0"/>
        <v/>
      </c>
      <c r="M63" s="183"/>
      <c r="N63" s="124"/>
      <c r="O63" s="25"/>
      <c r="P63" s="11"/>
      <c r="Q63" s="11" t="str">
        <f>A63 &amp;" " &amp; VLOOKUP("Stk",Sprachindex!A:Z,Info!$O$6,FALSE)</f>
        <v xml:space="preserve"> STK</v>
      </c>
      <c r="R63" s="1">
        <f>IF(N24=5,15,25)</f>
        <v>25</v>
      </c>
      <c r="T63" s="95">
        <v>529600</v>
      </c>
      <c r="U63" s="95">
        <v>529603</v>
      </c>
      <c r="V63" s="95">
        <v>529601</v>
      </c>
      <c r="W63" s="95">
        <v>529605</v>
      </c>
      <c r="X63" s="95">
        <v>529602</v>
      </c>
      <c r="Y63" s="95">
        <v>529607</v>
      </c>
      <c r="Z63" s="95">
        <v>529606</v>
      </c>
      <c r="AA63" s="95">
        <v>529604</v>
      </c>
      <c r="AB63" s="95">
        <v>529608</v>
      </c>
      <c r="AC63" s="95">
        <v>529609</v>
      </c>
      <c r="AD63" s="95">
        <v>529610</v>
      </c>
      <c r="AE63" s="103"/>
      <c r="AF63" s="107">
        <f t="shared" si="1"/>
        <v>0</v>
      </c>
      <c r="AG63" s="107">
        <v>80</v>
      </c>
      <c r="AH63" s="95">
        <v>529620</v>
      </c>
      <c r="AI63" s="95">
        <v>529623</v>
      </c>
      <c r="AJ63" s="95">
        <v>529621</v>
      </c>
      <c r="AK63" s="95">
        <v>529625</v>
      </c>
      <c r="AL63" s="95">
        <v>529622</v>
      </c>
      <c r="AM63" s="95">
        <v>529627</v>
      </c>
      <c r="AN63" s="95">
        <v>529626</v>
      </c>
      <c r="AO63" s="95">
        <v>529624</v>
      </c>
      <c r="AP63" s="95">
        <v>529628</v>
      </c>
      <c r="AQ63" s="95">
        <v>529629</v>
      </c>
      <c r="AR63" s="95">
        <v>529630</v>
      </c>
      <c r="AS63" s="103"/>
      <c r="AT63" s="107">
        <f>IF($N$20=1,AJ63,IF($N$20=2,AL63,IF($N$20=3,AS63,IF($N$20=4,AK63,IF($N$20=5,AN63,IF($N$20=6,AO63,IF($N$20=7,AI63,IF($N$20=8,AP63,IF($N$20=9,AM63,IF($N$20=10,AR63,IF($N$20=11,AQ63,IF($N$20=12,AH63,0))))))))))))</f>
        <v>0</v>
      </c>
      <c r="AU63" s="107">
        <v>100</v>
      </c>
      <c r="AV63" s="95">
        <v>529640</v>
      </c>
      <c r="AW63" s="95">
        <v>529643</v>
      </c>
      <c r="AX63" s="95">
        <v>529641</v>
      </c>
      <c r="AY63" s="95">
        <v>529645</v>
      </c>
      <c r="AZ63" s="95">
        <v>529642</v>
      </c>
      <c r="BA63" s="95">
        <v>529647</v>
      </c>
      <c r="BB63" s="95">
        <v>529646</v>
      </c>
      <c r="BC63" s="95">
        <v>529644</v>
      </c>
      <c r="BD63" s="95">
        <v>529648</v>
      </c>
      <c r="BE63" s="95">
        <v>529649</v>
      </c>
      <c r="BF63" s="95">
        <v>529650</v>
      </c>
      <c r="BG63" s="103"/>
      <c r="BH63" s="107">
        <f>IF($N$20=1,AX63,IF($N$20=2,AZ63,IF($N$20=3,BG63,IF($N$20=4,AY63,IF($N$20=5,BB63,IF($N$20=6,BC63,IF($N$20=7,AW63,IF($N$20=8,BD63,IF($N$20=9,BA63,IF($N$20=10,BF63,IF($N$20=11,BE63,IF($N$20=12,AV63,0))))))))))))</f>
        <v>0</v>
      </c>
      <c r="BI63" s="107">
        <v>120</v>
      </c>
      <c r="BJ63" s="95">
        <v>529207</v>
      </c>
      <c r="BK63" s="95">
        <v>529662</v>
      </c>
      <c r="BL63" s="95">
        <v>529660</v>
      </c>
      <c r="BM63" s="103"/>
      <c r="BN63" s="95">
        <v>529661</v>
      </c>
      <c r="BO63" s="103"/>
      <c r="BP63" s="103"/>
      <c r="BQ63" s="103"/>
      <c r="BR63" s="103"/>
      <c r="BS63" s="103"/>
      <c r="BT63" s="103"/>
      <c r="BU63" s="103"/>
      <c r="BV63" s="107">
        <f>IF($N$20=1,BL63,IF($N$20=2,BN63,IF($N$20=3,BU63,IF($N$20=4,BM63,IF($N$20=5,BP63,IF($N$20=6,BQ63,IF($N$20=7,BK63,IF($N$20=8,BR63,IF($N$20=9,BO63,IF($N$20=10,BT63,IF($N$20=11,BS63,IF($N$20=12,BJ63,0))))))))))))</f>
        <v>0</v>
      </c>
      <c r="BW63" s="107">
        <v>150</v>
      </c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7">
        <f>IF($N$20=1,BZ63,IF($N$20=2,CB63,IF($N$20=3,CI63,IF($N$20=4,CA63,IF($N$20=5,CD63,IF($N$20=6,CE63,IF($N$20=7,BY63,IF($N$20=8,CF63,IF($N$20=9,CC63,IF($N$20=10,CH63,IF($N$20=11,CG63,IF($N$20=12,BX63,0))))))))))))</f>
        <v>0</v>
      </c>
      <c r="CK63" s="107">
        <v>60</v>
      </c>
    </row>
    <row r="64" spans="1:89" ht="32.1" customHeight="1">
      <c r="A64" s="187"/>
      <c r="B64" s="197" t="str">
        <f>VLOOKUP("STK",Sprachindex!A:Z,Info!$O$6,FALSE)</f>
        <v>STK</v>
      </c>
      <c r="C64" s="136"/>
      <c r="D64" s="136">
        <f>IF(J64=Formeln!A157,345020,IF(J64=Formeln!A158,345021,IF(J64=Formeln!A159,345022,0)))</f>
        <v>0</v>
      </c>
      <c r="E64" s="283" t="str">
        <f>VLOOKUP("PREFA Rohrschellendorn",Sprachindex!A:Z,Info!$O$6,FALSE)</f>
        <v>PREFA Rohrschellendorn</v>
      </c>
      <c r="F64" s="284"/>
      <c r="G64" s="284"/>
      <c r="H64" s="284"/>
      <c r="I64" s="189" t="str">
        <f>VLOOKUP("Länge wählen:",Sprachindex!A:Z,Info!$O$6,FALSE)</f>
        <v>Länge wählen:</v>
      </c>
      <c r="J64" s="269"/>
      <c r="K64" s="270"/>
      <c r="L64" s="137" t="str">
        <f t="shared" si="0"/>
        <v/>
      </c>
      <c r="M64" s="183"/>
      <c r="N64" s="124"/>
      <c r="O64" s="25"/>
      <c r="P64" s="11"/>
      <c r="Q64" s="11" t="str">
        <f>A64 &amp;" " &amp; VLOOKUP("Stk",Sprachindex!A:Z,Info!$O$6,FALSE)</f>
        <v xml:space="preserve"> STK</v>
      </c>
    </row>
    <row r="65" spans="1:103" ht="32.1" customHeight="1">
      <c r="A65" s="187"/>
      <c r="B65" s="197" t="str">
        <f>VLOOKUP("STK",Sprachindex!A:Z,Info!$O$6,FALSE)</f>
        <v>STK</v>
      </c>
      <c r="C65" s="136"/>
      <c r="D65" s="136">
        <v>345015</v>
      </c>
      <c r="E65" s="283" t="str">
        <f>VLOOKUP("PREFA M10 Gewindedorn",Sprachindex!A:Z,Info!$O$6,FALSE)</f>
        <v>PREFA M10 Gewindedorn</v>
      </c>
      <c r="F65" s="284"/>
      <c r="G65" s="284"/>
      <c r="H65" s="284"/>
      <c r="I65" s="284"/>
      <c r="J65" s="320" t="str">
        <f>VLOOKUP("195 mm lang",Sprachindex!A:Z,Info!$O$6,FALSE)</f>
        <v>195 mm lang</v>
      </c>
      <c r="K65" s="321"/>
      <c r="L65" s="137" t="str">
        <f t="shared" ref="L65:L100" si="2">IF(A65=0,"",IF($N$10=1,P65,Q65))</f>
        <v/>
      </c>
      <c r="M65" s="183"/>
      <c r="N65" s="124"/>
      <c r="O65" s="25"/>
      <c r="P65" s="11"/>
      <c r="Q65" s="11" t="str">
        <f>A65 &amp;" " &amp; VLOOKUP("Stk",Sprachindex!A:Z,Info!$O$6,FALSE)</f>
        <v xml:space="preserve"> STK</v>
      </c>
    </row>
    <row r="66" spans="1:103" ht="32.1" customHeight="1">
      <c r="A66" s="187"/>
      <c r="B66" s="197" t="str">
        <f>VLOOKUP("STK",Sprachindex!A:Z,Info!$O$6,FALSE)</f>
        <v>STK</v>
      </c>
      <c r="C66" s="136"/>
      <c r="D66" s="136">
        <f>IF(J66=Formeln!A161,420302,IF(J66=Formeln!A162,420303,0))</f>
        <v>0</v>
      </c>
      <c r="E66" s="283" t="str">
        <f>VLOOKUP("PREFA Rohrschellendübel mit Dorn (für WDVS)",Sprachindex!A:Z,Info!$O$6,FALSE)</f>
        <v>PREFA Rohrschellendübel mit Dorn (für WDVS)</v>
      </c>
      <c r="F66" s="284"/>
      <c r="G66" s="284"/>
      <c r="H66" s="284"/>
      <c r="I66" s="189" t="str">
        <f>VLOOKUP("Länge wählen:",Sprachindex!A:Z,Info!$O$6,FALSE)</f>
        <v>Länge wählen:</v>
      </c>
      <c r="J66" s="269"/>
      <c r="K66" s="270"/>
      <c r="L66" s="137" t="str">
        <f t="shared" si="2"/>
        <v/>
      </c>
      <c r="M66" s="183"/>
      <c r="N66" s="124"/>
      <c r="O66" s="25"/>
      <c r="P66" s="11"/>
      <c r="Q66" s="11" t="str">
        <f>ROUNDUP(A66/4,0)*4 &amp;" " &amp; VLOOKUP("Stk",Sprachindex!A:Z,Info!$O$6,FALSE)</f>
        <v>0 STK</v>
      </c>
    </row>
    <row r="67" spans="1:103" ht="32.1" customHeight="1">
      <c r="A67" s="187"/>
      <c r="B67" s="197" t="str">
        <f>VLOOKUP("STK",Sprachindex!A:Z,Info!$O$6,FALSE)</f>
        <v>STK</v>
      </c>
      <c r="C67" s="136"/>
      <c r="D67" s="136">
        <f>IF(J67=Formeln!A164,420305,IF(J67=Formeln!A165,420306,0))</f>
        <v>0</v>
      </c>
      <c r="E67" s="283" t="str">
        <f>VLOOKUP("PREFA Rohrschellenhalter (für WDVS)",Sprachindex!A:Z,Info!$O$6,FALSE)</f>
        <v>PREFA Rohrschellenhalter (für WDVS)</v>
      </c>
      <c r="F67" s="284"/>
      <c r="G67" s="284"/>
      <c r="H67" s="284"/>
      <c r="I67" s="189" t="str">
        <f>VLOOKUP("Länge wählen:",Sprachindex!A:Z,Info!$O$6,FALSE)</f>
        <v>Länge wählen:</v>
      </c>
      <c r="J67" s="269"/>
      <c r="K67" s="270"/>
      <c r="L67" s="137" t="str">
        <f t="shared" si="2"/>
        <v/>
      </c>
      <c r="M67" s="183"/>
      <c r="N67" s="124"/>
      <c r="O67" s="25"/>
      <c r="P67" s="11"/>
      <c r="Q67" s="11" t="str">
        <f>ROUNDUP(A67/4,0)*4 &amp;" " &amp; VLOOKUP("Stk",Sprachindex!A:Z,Info!$O$6,FALSE)</f>
        <v>0 STK</v>
      </c>
      <c r="T67" s="75" t="s">
        <v>1563</v>
      </c>
      <c r="U67" s="75" t="s">
        <v>3025</v>
      </c>
      <c r="V67" s="75" t="s">
        <v>3015</v>
      </c>
      <c r="W67" s="75" t="s">
        <v>3022</v>
      </c>
      <c r="X67" s="75" t="s">
        <v>702</v>
      </c>
      <c r="Y67" s="75" t="s">
        <v>3027</v>
      </c>
      <c r="Z67" s="75" t="s">
        <v>3023</v>
      </c>
      <c r="AA67" s="75" t="s">
        <v>3024</v>
      </c>
      <c r="AB67" s="75" t="s">
        <v>3026</v>
      </c>
      <c r="AC67" s="75" t="s">
        <v>1578</v>
      </c>
      <c r="AD67" s="75" t="s">
        <v>3028</v>
      </c>
      <c r="AE67" s="75" t="s">
        <v>3021</v>
      </c>
      <c r="AF67" s="75"/>
      <c r="AG67" s="107"/>
      <c r="AH67" s="75" t="s">
        <v>1563</v>
      </c>
      <c r="AI67" s="75" t="s">
        <v>3025</v>
      </c>
      <c r="AJ67" s="75" t="s">
        <v>3015</v>
      </c>
      <c r="AK67" s="75" t="s">
        <v>3022</v>
      </c>
      <c r="AL67" s="75" t="s">
        <v>702</v>
      </c>
      <c r="AM67" s="75" t="s">
        <v>3027</v>
      </c>
      <c r="AN67" s="75" t="s">
        <v>3023</v>
      </c>
      <c r="AO67" s="75" t="s">
        <v>3024</v>
      </c>
      <c r="AP67" s="75" t="s">
        <v>3026</v>
      </c>
      <c r="AQ67" s="75" t="s">
        <v>1578</v>
      </c>
      <c r="AR67" s="75" t="s">
        <v>3028</v>
      </c>
      <c r="AS67" s="75" t="s">
        <v>3021</v>
      </c>
      <c r="AT67" s="75"/>
      <c r="AU67" s="107"/>
      <c r="AV67" s="75" t="s">
        <v>1563</v>
      </c>
      <c r="AW67" s="75" t="s">
        <v>3025</v>
      </c>
      <c r="AX67" s="75" t="s">
        <v>3015</v>
      </c>
      <c r="AY67" s="75" t="s">
        <v>3022</v>
      </c>
      <c r="AZ67" s="75" t="s">
        <v>702</v>
      </c>
      <c r="BA67" s="75" t="s">
        <v>3027</v>
      </c>
      <c r="BB67" s="75" t="s">
        <v>3023</v>
      </c>
      <c r="BC67" s="75" t="s">
        <v>3024</v>
      </c>
      <c r="BD67" s="75" t="s">
        <v>3026</v>
      </c>
      <c r="BE67" s="75" t="s">
        <v>1578</v>
      </c>
      <c r="BF67" s="75" t="s">
        <v>3028</v>
      </c>
      <c r="BG67" s="75" t="s">
        <v>3021</v>
      </c>
      <c r="BH67" s="75"/>
      <c r="BI67" s="107"/>
      <c r="BJ67" s="75" t="s">
        <v>1563</v>
      </c>
      <c r="BK67" s="75" t="s">
        <v>3025</v>
      </c>
      <c r="BL67" s="75" t="s">
        <v>3015</v>
      </c>
      <c r="BM67" s="75" t="s">
        <v>3022</v>
      </c>
      <c r="BN67" s="75" t="s">
        <v>702</v>
      </c>
      <c r="BO67" s="75" t="s">
        <v>3027</v>
      </c>
      <c r="BP67" s="75" t="s">
        <v>3023</v>
      </c>
      <c r="BQ67" s="75" t="s">
        <v>3024</v>
      </c>
      <c r="BR67" s="75" t="s">
        <v>3026</v>
      </c>
      <c r="BS67" s="75" t="s">
        <v>1578</v>
      </c>
      <c r="BT67" s="75" t="s">
        <v>3028</v>
      </c>
      <c r="BU67" s="75" t="s">
        <v>3021</v>
      </c>
      <c r="BV67" s="75"/>
      <c r="BW67" s="107"/>
      <c r="BX67" s="75" t="s">
        <v>1563</v>
      </c>
      <c r="BY67" s="75" t="s">
        <v>3025</v>
      </c>
      <c r="BZ67" s="75" t="s">
        <v>3015</v>
      </c>
      <c r="CA67" s="75" t="s">
        <v>3022</v>
      </c>
      <c r="CB67" s="75" t="s">
        <v>702</v>
      </c>
      <c r="CC67" s="75" t="s">
        <v>3027</v>
      </c>
      <c r="CD67" s="75" t="s">
        <v>3023</v>
      </c>
      <c r="CE67" s="75" t="s">
        <v>3024</v>
      </c>
      <c r="CF67" s="75" t="s">
        <v>3026</v>
      </c>
      <c r="CG67" s="75" t="s">
        <v>1578</v>
      </c>
      <c r="CH67" s="75" t="s">
        <v>3028</v>
      </c>
      <c r="CI67" s="75" t="s">
        <v>3021</v>
      </c>
      <c r="CJ67" s="75"/>
      <c r="CK67" s="107"/>
    </row>
    <row r="68" spans="1:103" ht="32.1" customHeight="1">
      <c r="A68" s="187"/>
      <c r="B68" s="197" t="str">
        <f>VLOOKUP("STK",Sprachindex!A:Z,Info!$O$6,FALSE)</f>
        <v>STK</v>
      </c>
      <c r="C68" s="136"/>
      <c r="D68" s="136">
        <f>AF68</f>
        <v>0</v>
      </c>
      <c r="E68" s="283" t="str">
        <f>VLOOKUP("PREFA Wandmontageplatte",Sprachindex!A:Z,Info!$O$6,FALSE)</f>
        <v>PREFA Wandmontageplatte</v>
      </c>
      <c r="F68" s="284"/>
      <c r="G68" s="284"/>
      <c r="H68" s="284"/>
      <c r="I68" s="284"/>
      <c r="J68" s="320"/>
      <c r="K68" s="321"/>
      <c r="L68" s="137" t="str">
        <f t="shared" si="2"/>
        <v/>
      </c>
      <c r="M68" s="183"/>
      <c r="N68" s="124"/>
      <c r="O68" s="25"/>
      <c r="P68" s="11"/>
      <c r="Q68" s="11" t="str">
        <f>A68 &amp;" " &amp; VLOOKUP("Stk",Sprachindex!A:Z,Info!$O$6,FALSE)</f>
        <v xml:space="preserve"> STK</v>
      </c>
      <c r="T68" s="95">
        <v>529301</v>
      </c>
      <c r="U68" s="95">
        <v>529304</v>
      </c>
      <c r="V68" s="95">
        <v>529302</v>
      </c>
      <c r="W68" s="95">
        <v>529305</v>
      </c>
      <c r="X68" s="95">
        <v>529303</v>
      </c>
      <c r="Y68" s="95">
        <v>529309</v>
      </c>
      <c r="Z68" s="95">
        <v>529306</v>
      </c>
      <c r="AA68" s="95">
        <v>529307</v>
      </c>
      <c r="AB68" s="95">
        <v>529308</v>
      </c>
      <c r="AC68" s="95">
        <v>529310</v>
      </c>
      <c r="AD68" s="95">
        <v>529311</v>
      </c>
      <c r="AE68" s="103"/>
      <c r="AF68" s="107">
        <f t="shared" ref="AF68" si="3">IF($N$20=1,V68,IF($N$20=2,X68,IF($N$20=3,AE68,IF($N$20=4,W68,IF($N$20=5,Z68,IF($N$20=6,AA68,IF($N$20=7,U68,IF($N$20=8,AB68,IF($N$20=9,Y68,IF($N$20=10,AD68,IF($N$20=11,AC68,IF($N$20=12,T68,0))))))))))))</f>
        <v>0</v>
      </c>
      <c r="AG68" s="107"/>
    </row>
    <row r="69" spans="1:103" ht="32.1" customHeight="1">
      <c r="A69" s="187"/>
      <c r="B69" s="197" t="str">
        <f>VLOOKUP("STK",Sprachindex!A:Z,Info!$O$6,FALSE)</f>
        <v>STK</v>
      </c>
      <c r="C69" s="136"/>
      <c r="D69" s="136">
        <v>529502</v>
      </c>
      <c r="E69" s="283" t="str">
        <f>VLOOKUP("PREFA Abdeckkappe für Rohrschellendorn",Sprachindex!A:Z,Info!$O$6,FALSE)</f>
        <v>PREFA Abdeckkappe für Rohrschellendorn</v>
      </c>
      <c r="F69" s="284"/>
      <c r="G69" s="284"/>
      <c r="H69" s="284"/>
      <c r="I69" s="284"/>
      <c r="J69" s="320"/>
      <c r="K69" s="321"/>
      <c r="L69" s="137" t="str">
        <f t="shared" si="2"/>
        <v/>
      </c>
      <c r="M69" s="183"/>
      <c r="N69" s="124"/>
      <c r="O69" s="25"/>
      <c r="P69" s="11"/>
      <c r="Q69" s="11" t="str">
        <f>A69 &amp;" " &amp; VLOOKUP("Stk",Sprachindex!A:Z,Info!$O$6,FALSE)</f>
        <v xml:space="preserve"> STK</v>
      </c>
    </row>
    <row r="70" spans="1:103" ht="32.1" customHeight="1">
      <c r="A70" s="187"/>
      <c r="B70" s="197" t="str">
        <f>VLOOKUP("STK",Sprachindex!A:Z,Info!$O$6,FALSE)</f>
        <v>STK</v>
      </c>
      <c r="C70" s="136"/>
      <c r="D70" s="136">
        <f>IF($N$24=2,AF70,IF($N$24=3,AT70,IF($N$24=4,BH70,IF($N$24=5,BV70,0))))</f>
        <v>0</v>
      </c>
      <c r="E70" s="283" t="str">
        <f>VLOOKUP("PREFA Rohrbogen 72°",Sprachindex!A:Z,Info!$O$6,FALSE)</f>
        <v>PREFA Rohrbogen 72°</v>
      </c>
      <c r="F70" s="284"/>
      <c r="G70" s="284"/>
      <c r="H70" s="284"/>
      <c r="I70" s="284"/>
      <c r="J70" s="320" t="str">
        <f>Formeln!A240</f>
        <v/>
      </c>
      <c r="K70" s="321"/>
      <c r="L70" s="137" t="str">
        <f t="shared" si="2"/>
        <v/>
      </c>
      <c r="M70" s="183"/>
      <c r="N70" s="124"/>
      <c r="O70" s="25"/>
      <c r="P70" s="11"/>
      <c r="Q70" s="11" t="str">
        <f>A70 &amp;" " &amp; VLOOKUP("Stk",Sprachindex!A:Z,Info!$O$6,FALSE)</f>
        <v xml:space="preserve"> STK</v>
      </c>
      <c r="R70" s="1">
        <f>IF(OR(N24=1,N24=2,N24=3),8,IF(N24=4,4,1))</f>
        <v>1</v>
      </c>
      <c r="T70" s="95" t="s">
        <v>2369</v>
      </c>
      <c r="U70" s="95" t="s">
        <v>2371</v>
      </c>
      <c r="V70" s="95" t="s">
        <v>2370</v>
      </c>
      <c r="W70" s="95" t="s">
        <v>2377</v>
      </c>
      <c r="X70" s="95" t="s">
        <v>2368</v>
      </c>
      <c r="Y70" s="95" t="s">
        <v>2375</v>
      </c>
      <c r="Z70" s="95" t="s">
        <v>2374</v>
      </c>
      <c r="AA70" s="95" t="s">
        <v>2372</v>
      </c>
      <c r="AB70" s="95" t="s">
        <v>2378</v>
      </c>
      <c r="AC70" s="95" t="s">
        <v>2376</v>
      </c>
      <c r="AD70" s="95" t="s">
        <v>2373</v>
      </c>
      <c r="AE70" s="103"/>
      <c r="AF70" s="107">
        <f t="shared" ref="AF70:AF75" si="4">IF($N$20=1,V70,IF($N$20=2,X70,IF($N$20=3,AE70,IF($N$20=4,W70,IF($N$20=5,Z70,IF($N$20=6,AA70,IF($N$20=7,U70,IF($N$20=8,AB70,IF($N$20=9,Y70,IF($N$20=10,AD70,IF($N$20=11,AC70,IF($N$20=12,T70,0))))))))))))</f>
        <v>0</v>
      </c>
      <c r="AG70" s="107">
        <v>80</v>
      </c>
      <c r="AH70" s="95" t="s">
        <v>2380</v>
      </c>
      <c r="AI70" s="95" t="s">
        <v>2382</v>
      </c>
      <c r="AJ70" s="95" t="s">
        <v>2381</v>
      </c>
      <c r="AK70" s="95" t="s">
        <v>2388</v>
      </c>
      <c r="AL70" s="95" t="s">
        <v>2379</v>
      </c>
      <c r="AM70" s="95" t="s">
        <v>2386</v>
      </c>
      <c r="AN70" s="95" t="s">
        <v>2385</v>
      </c>
      <c r="AO70" s="95" t="s">
        <v>2383</v>
      </c>
      <c r="AP70" s="95" t="s">
        <v>2389</v>
      </c>
      <c r="AQ70" s="95" t="s">
        <v>2387</v>
      </c>
      <c r="AR70" s="95" t="s">
        <v>2384</v>
      </c>
      <c r="AS70" s="103"/>
      <c r="AT70" s="107">
        <f>IF($N$20=1,AJ70,IF($N$20=2,AL70,IF($N$20=3,AS70,IF($N$20=4,AK70,IF($N$20=5,AN70,IF($N$20=6,AO70,IF($N$20=7,AI70,IF($N$20=8,AP70,IF($N$20=9,AM70,IF($N$20=10,AR70,IF($N$20=11,AQ70,IF($N$20=12,AH70,0))))))))))))</f>
        <v>0</v>
      </c>
      <c r="AU70" s="107">
        <v>100</v>
      </c>
      <c r="AV70" s="95" t="s">
        <v>2391</v>
      </c>
      <c r="AW70" s="95" t="s">
        <v>2393</v>
      </c>
      <c r="AX70" s="95" t="s">
        <v>2392</v>
      </c>
      <c r="AY70" s="95" t="s">
        <v>2399</v>
      </c>
      <c r="AZ70" s="95" t="s">
        <v>2390</v>
      </c>
      <c r="BA70" s="95" t="s">
        <v>2397</v>
      </c>
      <c r="BB70" s="95" t="s">
        <v>2396</v>
      </c>
      <c r="BC70" s="95" t="s">
        <v>2394</v>
      </c>
      <c r="BD70" s="95" t="s">
        <v>2400</v>
      </c>
      <c r="BE70" s="95" t="s">
        <v>2398</v>
      </c>
      <c r="BF70" s="95" t="s">
        <v>2395</v>
      </c>
      <c r="BG70" s="103"/>
      <c r="BH70" s="107">
        <f>IF($N$20=1,AX70,IF($N$20=2,AZ70,IF($N$20=3,BG70,IF($N$20=4,AY70,IF($N$20=5,BB70,IF($N$20=6,BC70,IF($N$20=7,AW70,IF($N$20=8,BD70,IF($N$20=9,BA70,IF($N$20=10,BF70,IF($N$20=11,BE70,IF($N$20=12,AV70,0))))))))))))</f>
        <v>0</v>
      </c>
      <c r="BI70" s="107">
        <v>120</v>
      </c>
      <c r="BJ70" s="95" t="s">
        <v>2402</v>
      </c>
      <c r="BK70" s="95" t="s">
        <v>2404</v>
      </c>
      <c r="BL70" s="95" t="s">
        <v>2403</v>
      </c>
      <c r="BM70" s="103"/>
      <c r="BN70" s="95" t="s">
        <v>2401</v>
      </c>
      <c r="BO70" s="103"/>
      <c r="BP70" s="103"/>
      <c r="BQ70" s="103"/>
      <c r="BR70" s="103"/>
      <c r="BS70" s="103"/>
      <c r="BT70" s="103"/>
      <c r="BU70" s="103"/>
      <c r="BV70" s="107">
        <f>IF($N$20=1,BL70,IF($N$20=2,BN70,IF($N$20=3,BU70,IF($N$20=4,BM70,IF($N$20=5,BP70,IF($N$20=6,BQ70,IF($N$20=7,BK70,IF($N$20=8,BR70,IF($N$20=9,BO70,IF($N$20=10,BT70,IF($N$20=11,BS70,IF($N$20=12,BJ70,0))))))))))))</f>
        <v>0</v>
      </c>
      <c r="BW70" s="107">
        <v>150</v>
      </c>
    </row>
    <row r="71" spans="1:103" ht="32.1" customHeight="1">
      <c r="A71" s="187"/>
      <c r="B71" s="197" t="str">
        <f>VLOOKUP("STK",Sprachindex!A:Z,Info!$O$6,FALSE)</f>
        <v>STK</v>
      </c>
      <c r="C71" s="136"/>
      <c r="D71" s="136">
        <f t="shared" ref="D71:D72" si="5">IF($N$24=2,AF71,IF($N$24=3,AT71,IF($N$24=4,BH71,IF($N$24=5,BV71,0))))</f>
        <v>0</v>
      </c>
      <c r="E71" s="283" t="str">
        <f>VLOOKUP("PREFA Rohrbogen 85°",Sprachindex!A:Z,Info!$O$6,FALSE)</f>
        <v>PREFA Rohrbogen 85°</v>
      </c>
      <c r="F71" s="284"/>
      <c r="G71" s="284"/>
      <c r="H71" s="284"/>
      <c r="I71" s="284"/>
      <c r="J71" s="320" t="str">
        <f>Formeln!A243</f>
        <v/>
      </c>
      <c r="K71" s="321"/>
      <c r="L71" s="137" t="str">
        <f t="shared" si="2"/>
        <v/>
      </c>
      <c r="M71" s="183"/>
      <c r="N71" s="124"/>
      <c r="O71" s="25"/>
      <c r="P71" s="11"/>
      <c r="Q71" s="11" t="str">
        <f>A71 &amp;" " &amp; VLOOKUP("Stk",Sprachindex!A:Z,Info!$O$6,FALSE)</f>
        <v xml:space="preserve"> STK</v>
      </c>
      <c r="R71" s="1">
        <f>IF(OR(N24=2,N24=3),8,3)</f>
        <v>3</v>
      </c>
      <c r="T71" s="95" t="s">
        <v>2410</v>
      </c>
      <c r="U71" s="95" t="s">
        <v>2407</v>
      </c>
      <c r="V71" s="95" t="s">
        <v>2405</v>
      </c>
      <c r="W71" s="103"/>
      <c r="X71" s="95" t="s">
        <v>2406</v>
      </c>
      <c r="Y71" s="95" t="s">
        <v>2408</v>
      </c>
      <c r="Z71" s="103"/>
      <c r="AA71" s="103"/>
      <c r="AB71" s="103"/>
      <c r="AC71" s="95" t="s">
        <v>2409</v>
      </c>
      <c r="AD71" s="103"/>
      <c r="AE71" s="103"/>
      <c r="AF71" s="107">
        <f t="shared" si="4"/>
        <v>0</v>
      </c>
      <c r="AG71" s="107">
        <v>80</v>
      </c>
      <c r="AH71" s="95" t="s">
        <v>2412</v>
      </c>
      <c r="AI71" s="95" t="s">
        <v>2414</v>
      </c>
      <c r="AJ71" s="95" t="s">
        <v>2413</v>
      </c>
      <c r="AK71" s="103"/>
      <c r="AL71" s="95" t="s">
        <v>2411</v>
      </c>
      <c r="AM71" s="95" t="s">
        <v>2415</v>
      </c>
      <c r="AN71" s="103"/>
      <c r="AO71" s="103"/>
      <c r="AP71" s="103"/>
      <c r="AQ71" s="95" t="s">
        <v>2416</v>
      </c>
      <c r="AR71" s="103"/>
      <c r="AS71" s="103"/>
      <c r="AT71" s="107">
        <f t="shared" ref="AT71:AT73" si="6">IF($N$20=1,AJ71,IF($N$20=2,AL71,IF($N$20=3,AS71,IF($N$20=4,AK71,IF($N$20=5,AN71,IF($N$20=6,AO71,IF($N$20=7,AI71,IF($N$20=8,AP71,IF($N$20=9,AM71,IF($N$20=10,AR71,IF($N$20=11,AQ71,IF($N$20=12,AH71,0))))))))))))</f>
        <v>0</v>
      </c>
      <c r="AU71" s="107">
        <v>100</v>
      </c>
      <c r="AV71" s="95" t="s">
        <v>2418</v>
      </c>
      <c r="AW71" s="95" t="s">
        <v>2420</v>
      </c>
      <c r="AX71" s="95" t="s">
        <v>2419</v>
      </c>
      <c r="AY71" s="103"/>
      <c r="AZ71" s="95" t="s">
        <v>2417</v>
      </c>
      <c r="BA71" s="103"/>
      <c r="BB71" s="103"/>
      <c r="BC71" s="103"/>
      <c r="BD71" s="103"/>
      <c r="BE71" s="103"/>
      <c r="BF71" s="103"/>
      <c r="BG71" s="103"/>
      <c r="BH71" s="107">
        <f t="shared" ref="BH71:BH73" si="7">IF($N$20=1,AX71,IF($N$20=2,AZ71,IF($N$20=3,BG71,IF($N$20=4,AY71,IF($N$20=5,BB71,IF($N$20=6,BC71,IF($N$20=7,AW71,IF($N$20=8,BD71,IF($N$20=9,BA71,IF($N$20=10,BF71,IF($N$20=11,BE71,IF($N$20=12,AV71,0))))))))))))</f>
        <v>0</v>
      </c>
      <c r="BI71" s="107">
        <v>120</v>
      </c>
    </row>
    <row r="72" spans="1:103" ht="32.1" customHeight="1">
      <c r="A72" s="187"/>
      <c r="B72" s="197" t="str">
        <f>VLOOKUP("STK",Sprachindex!A:Z,Info!$O$6,FALSE)</f>
        <v>STK</v>
      </c>
      <c r="C72" s="136"/>
      <c r="D72" s="136">
        <f t="shared" si="5"/>
        <v>0</v>
      </c>
      <c r="E72" s="283" t="str">
        <f>VLOOKUP("PREFA Rohrbogen 40°",Sprachindex!A:Z,Info!$O$6,FALSE)</f>
        <v>PREFA Rohrbogen 40°</v>
      </c>
      <c r="F72" s="284"/>
      <c r="G72" s="284"/>
      <c r="H72" s="284"/>
      <c r="I72" s="284"/>
      <c r="J72" s="320" t="str">
        <f>Formeln!A243</f>
        <v/>
      </c>
      <c r="K72" s="321"/>
      <c r="L72" s="137" t="str">
        <f t="shared" si="2"/>
        <v/>
      </c>
      <c r="M72" s="183"/>
      <c r="N72" s="124"/>
      <c r="O72" s="25"/>
      <c r="P72" s="11"/>
      <c r="Q72" s="11" t="str">
        <f>A72 &amp;" " &amp; VLOOKUP("Stk",Sprachindex!A:Z,Info!$O$6,FALSE)</f>
        <v xml:space="preserve"> STK</v>
      </c>
      <c r="R72" s="1">
        <f>IF(N24=2,12,IF(N24=3,6,3))</f>
        <v>3</v>
      </c>
      <c r="T72" s="95" t="s">
        <v>2422</v>
      </c>
      <c r="U72" s="95" t="s">
        <v>2424</v>
      </c>
      <c r="V72" s="95" t="s">
        <v>2423</v>
      </c>
      <c r="W72" s="95" t="s">
        <v>2430</v>
      </c>
      <c r="X72" s="95" t="s">
        <v>2421</v>
      </c>
      <c r="Y72" s="95" t="s">
        <v>2428</v>
      </c>
      <c r="Z72" s="95" t="s">
        <v>2427</v>
      </c>
      <c r="AA72" s="95" t="s">
        <v>2425</v>
      </c>
      <c r="AB72" s="95" t="s">
        <v>2431</v>
      </c>
      <c r="AC72" s="95" t="s">
        <v>2429</v>
      </c>
      <c r="AD72" s="95" t="s">
        <v>2426</v>
      </c>
      <c r="AE72" s="103"/>
      <c r="AF72" s="107">
        <f t="shared" si="4"/>
        <v>0</v>
      </c>
      <c r="AG72" s="107">
        <v>80</v>
      </c>
      <c r="AH72" s="95" t="s">
        <v>2433</v>
      </c>
      <c r="AI72" s="95" t="s">
        <v>2435</v>
      </c>
      <c r="AJ72" s="95" t="s">
        <v>2434</v>
      </c>
      <c r="AK72" s="95" t="s">
        <v>2441</v>
      </c>
      <c r="AL72" s="95" t="s">
        <v>2432</v>
      </c>
      <c r="AM72" s="95" t="s">
        <v>2439</v>
      </c>
      <c r="AN72" s="95" t="s">
        <v>2438</v>
      </c>
      <c r="AO72" s="95" t="s">
        <v>2436</v>
      </c>
      <c r="AP72" s="95" t="s">
        <v>2442</v>
      </c>
      <c r="AQ72" s="95" t="s">
        <v>2440</v>
      </c>
      <c r="AR72" s="95" t="s">
        <v>2437</v>
      </c>
      <c r="AS72" s="103"/>
      <c r="AT72" s="107">
        <f t="shared" si="6"/>
        <v>0</v>
      </c>
      <c r="AU72" s="107">
        <v>100</v>
      </c>
      <c r="AV72" s="95" t="s">
        <v>2444</v>
      </c>
      <c r="AW72" s="95" t="s">
        <v>2446</v>
      </c>
      <c r="AX72" s="95" t="s">
        <v>2445</v>
      </c>
      <c r="AY72" s="95" t="s">
        <v>2452</v>
      </c>
      <c r="AZ72" s="95" t="s">
        <v>2443</v>
      </c>
      <c r="BA72" s="95" t="s">
        <v>2450</v>
      </c>
      <c r="BB72" s="95" t="s">
        <v>2449</v>
      </c>
      <c r="BC72" s="95" t="s">
        <v>2447</v>
      </c>
      <c r="BD72" s="95" t="s">
        <v>2453</v>
      </c>
      <c r="BE72" s="95" t="s">
        <v>2451</v>
      </c>
      <c r="BF72" s="95" t="s">
        <v>2448</v>
      </c>
      <c r="BG72" s="103"/>
      <c r="BH72" s="107">
        <f t="shared" si="7"/>
        <v>0</v>
      </c>
      <c r="BI72" s="107">
        <v>120</v>
      </c>
    </row>
    <row r="73" spans="1:103" ht="32.1" customHeight="1">
      <c r="A73" s="187"/>
      <c r="B73" s="197" t="str">
        <f>VLOOKUP("STK",Sprachindex!A:Z,Info!$O$6,FALSE)</f>
        <v>STK</v>
      </c>
      <c r="C73" s="136"/>
      <c r="D73" s="136">
        <f>IF($N$24=2,AF73,IF($N$24=3,AT73,IF($N$24=4,BH73,IF($N$24=5,BV73,0))))</f>
        <v>0</v>
      </c>
      <c r="E73" s="283" t="str">
        <f>VLOOKUP("PREFA Sockelknie 60 mm Ausladung",Sprachindex!A:Z,Info!$O$6,FALSE)</f>
        <v>PREFA Sockelknie 60 mm Ausladung</v>
      </c>
      <c r="F73" s="284"/>
      <c r="G73" s="284"/>
      <c r="H73" s="284"/>
      <c r="I73" s="284"/>
      <c r="J73" s="320" t="str">
        <f>Formeln!A234</f>
        <v/>
      </c>
      <c r="K73" s="321"/>
      <c r="L73" s="137" t="str">
        <f t="shared" si="2"/>
        <v/>
      </c>
      <c r="M73" s="183"/>
      <c r="N73" s="124"/>
      <c r="O73" s="25"/>
      <c r="P73" s="11"/>
      <c r="Q73" s="11" t="str">
        <f>A73 &amp;" " &amp; VLOOKUP("Stk",Sprachindex!A:Z,Info!$O$6,FALSE)</f>
        <v xml:space="preserve"> STK</v>
      </c>
      <c r="R73" s="1">
        <f>IF(N24=2,2,IF(N24=3,8,IF(N24=4,4,1)))</f>
        <v>1</v>
      </c>
      <c r="T73" s="95" t="s">
        <v>2455</v>
      </c>
      <c r="U73" s="95" t="s">
        <v>2457</v>
      </c>
      <c r="V73" s="95" t="s">
        <v>2456</v>
      </c>
      <c r="W73" s="95" t="s">
        <v>2463</v>
      </c>
      <c r="X73" s="95" t="s">
        <v>2454</v>
      </c>
      <c r="Y73" s="95" t="s">
        <v>2461</v>
      </c>
      <c r="Z73" s="95" t="s">
        <v>2460</v>
      </c>
      <c r="AA73" s="95" t="s">
        <v>2458</v>
      </c>
      <c r="AB73" s="95" t="s">
        <v>2464</v>
      </c>
      <c r="AC73" s="95" t="s">
        <v>2462</v>
      </c>
      <c r="AD73" s="95" t="s">
        <v>2459</v>
      </c>
      <c r="AE73" s="103"/>
      <c r="AF73" s="107">
        <f t="shared" si="4"/>
        <v>0</v>
      </c>
      <c r="AG73" s="107">
        <v>80</v>
      </c>
      <c r="AH73" s="95" t="s">
        <v>2466</v>
      </c>
      <c r="AI73" s="95" t="s">
        <v>2468</v>
      </c>
      <c r="AJ73" s="95" t="s">
        <v>2467</v>
      </c>
      <c r="AK73" s="95" t="s">
        <v>2474</v>
      </c>
      <c r="AL73" s="95" t="s">
        <v>2465</v>
      </c>
      <c r="AM73" s="95" t="s">
        <v>2472</v>
      </c>
      <c r="AN73" s="95" t="s">
        <v>2471</v>
      </c>
      <c r="AO73" s="95" t="s">
        <v>2469</v>
      </c>
      <c r="AP73" s="95" t="s">
        <v>2475</v>
      </c>
      <c r="AQ73" s="95" t="s">
        <v>2473</v>
      </c>
      <c r="AR73" s="95" t="s">
        <v>2470</v>
      </c>
      <c r="AS73" s="103"/>
      <c r="AT73" s="107">
        <f t="shared" si="6"/>
        <v>0</v>
      </c>
      <c r="AU73" s="107">
        <v>100</v>
      </c>
      <c r="AV73" s="95" t="s">
        <v>2477</v>
      </c>
      <c r="AW73" s="95" t="s">
        <v>2479</v>
      </c>
      <c r="AX73" s="95" t="s">
        <v>2478</v>
      </c>
      <c r="AY73" s="95" t="s">
        <v>2485</v>
      </c>
      <c r="AZ73" s="95" t="s">
        <v>2476</v>
      </c>
      <c r="BA73" s="95" t="s">
        <v>2483</v>
      </c>
      <c r="BB73" s="95" t="s">
        <v>2482</v>
      </c>
      <c r="BC73" s="95" t="s">
        <v>2480</v>
      </c>
      <c r="BD73" s="95" t="s">
        <v>2486</v>
      </c>
      <c r="BE73" s="95" t="s">
        <v>2484</v>
      </c>
      <c r="BF73" s="95" t="s">
        <v>2481</v>
      </c>
      <c r="BG73" s="103"/>
      <c r="BH73" s="107">
        <f t="shared" si="7"/>
        <v>0</v>
      </c>
      <c r="BI73" s="107">
        <v>120</v>
      </c>
      <c r="BJ73" s="95" t="s">
        <v>2488</v>
      </c>
      <c r="BK73" s="95" t="s">
        <v>2490</v>
      </c>
      <c r="BL73" s="95" t="s">
        <v>2489</v>
      </c>
      <c r="BM73" s="103"/>
      <c r="BN73" s="95" t="s">
        <v>2487</v>
      </c>
      <c r="BO73" s="103"/>
      <c r="BP73" s="103"/>
      <c r="BQ73" s="103"/>
      <c r="BR73" s="103"/>
      <c r="BS73" s="103"/>
      <c r="BT73" s="103"/>
      <c r="BU73" s="103"/>
      <c r="BV73" s="107">
        <f>IF($N$20=1,BL73,IF($N$20=2,BN73,IF($N$20=3,BU73,IF($N$20=4,BM73,IF($N$20=5,BP73,IF($N$20=6,BQ73,IF($N$20=7,BK73,IF($N$20=8,BR73,IF($N$20=9,BO73,IF($N$20=10,BT73,IF($N$20=11,BS73,IF($N$20=12,BJ73,0))))))))))))</f>
        <v>0</v>
      </c>
      <c r="BW73" s="107">
        <v>150</v>
      </c>
    </row>
    <row r="74" spans="1:103" ht="32.1" customHeight="1">
      <c r="A74" s="187"/>
      <c r="B74" s="197" t="str">
        <f>VLOOKUP("STK",Sprachindex!A:Z,Info!$O$6,FALSE)</f>
        <v>STK</v>
      </c>
      <c r="C74" s="136"/>
      <c r="D74" s="136">
        <f>IF($N$24=3,AF74,0)</f>
        <v>0</v>
      </c>
      <c r="E74" s="283" t="str">
        <f>VLOOKUP("PREFA Teleskoprohrbogen, längenverstellbar von 700 bis 1.000 mm, DN 100",Sprachindex!A:Z,Info!$O$6,FALSE)</f>
        <v>PREFA Teleskoprohrbogen, längenverstellbar von 700 bis 1.000 mm, DN 100</v>
      </c>
      <c r="F74" s="284"/>
      <c r="G74" s="284"/>
      <c r="H74" s="284"/>
      <c r="I74" s="284"/>
      <c r="J74" s="320" t="str">
        <f>Formeln!A258</f>
        <v>100 ⌀ 700–1.100 mm</v>
      </c>
      <c r="K74" s="321"/>
      <c r="L74" s="137" t="str">
        <f t="shared" si="2"/>
        <v/>
      </c>
      <c r="M74" s="183"/>
      <c r="N74" s="124"/>
      <c r="O74" s="25"/>
      <c r="P74" s="11"/>
      <c r="Q74" s="11" t="str">
        <f>A74 &amp;" " &amp; VLOOKUP("Stk",Sprachindex!A:Z,Info!$O$6,FALSE)</f>
        <v xml:space="preserve"> STK</v>
      </c>
      <c r="T74" s="95" t="s">
        <v>2491</v>
      </c>
      <c r="U74" s="95" t="s">
        <v>2494</v>
      </c>
      <c r="V74" s="95" t="s">
        <v>2492</v>
      </c>
      <c r="W74" s="95" t="s">
        <v>2497</v>
      </c>
      <c r="X74" s="95" t="s">
        <v>2493</v>
      </c>
      <c r="Y74" s="95" t="s">
        <v>2495</v>
      </c>
      <c r="Z74" s="95" t="s">
        <v>2498</v>
      </c>
      <c r="AA74" s="95" t="s">
        <v>2496</v>
      </c>
      <c r="AB74" s="95" t="s">
        <v>2499</v>
      </c>
      <c r="AC74" s="95" t="s">
        <v>2500</v>
      </c>
      <c r="AD74" s="95" t="s">
        <v>2501</v>
      </c>
      <c r="AE74" s="103"/>
      <c r="AF74" s="107">
        <f t="shared" si="4"/>
        <v>0</v>
      </c>
      <c r="AG74" s="107">
        <v>100</v>
      </c>
    </row>
    <row r="75" spans="1:103" ht="32.1" customHeight="1">
      <c r="A75" s="187"/>
      <c r="B75" s="197" t="str">
        <f>VLOOKUP("STK",Sprachindex!A:Z,Info!$O$6,FALSE)</f>
        <v>STK</v>
      </c>
      <c r="C75" s="136"/>
      <c r="D75" s="136">
        <f>IF($N$24=2,AF75,IF($N$24=3,AT75,IF($N$24=4,BH75,IF($N$24=5,BV75,0))))</f>
        <v>0</v>
      </c>
      <c r="E75" s="283" t="str">
        <f>VLOOKUP("PREFA Wassersammler",Sprachindex!A:Z,Info!$O$6,FALSE)</f>
        <v>PREFA Wassersammler</v>
      </c>
      <c r="F75" s="284"/>
      <c r="G75" s="284"/>
      <c r="H75" s="284"/>
      <c r="I75" s="284"/>
      <c r="J75" s="320" t="str">
        <f>Formeln!A243</f>
        <v/>
      </c>
      <c r="K75" s="321"/>
      <c r="L75" s="137" t="str">
        <f t="shared" si="2"/>
        <v/>
      </c>
      <c r="M75" s="183"/>
      <c r="N75" s="124"/>
      <c r="O75" s="25"/>
      <c r="P75" s="11"/>
      <c r="Q75" s="11" t="str">
        <f>A75 &amp;" " &amp; VLOOKUP("Stk",Sprachindex!A:Z,Info!$O$6,FALSE)</f>
        <v xml:space="preserve"> STK</v>
      </c>
      <c r="T75" s="95" t="s">
        <v>2503</v>
      </c>
      <c r="U75" s="95" t="s">
        <v>2505</v>
      </c>
      <c r="V75" s="95" t="s">
        <v>2504</v>
      </c>
      <c r="W75" s="95" t="s">
        <v>2511</v>
      </c>
      <c r="X75" s="95" t="s">
        <v>2502</v>
      </c>
      <c r="Y75" s="95" t="s">
        <v>2509</v>
      </c>
      <c r="Z75" s="95" t="s">
        <v>2508</v>
      </c>
      <c r="AA75" s="95" t="s">
        <v>2506</v>
      </c>
      <c r="AB75" s="95" t="s">
        <v>2512</v>
      </c>
      <c r="AC75" s="95" t="s">
        <v>2510</v>
      </c>
      <c r="AD75" s="95" t="s">
        <v>2507</v>
      </c>
      <c r="AE75" s="103"/>
      <c r="AF75" s="107">
        <f t="shared" si="4"/>
        <v>0</v>
      </c>
      <c r="AG75" s="107">
        <v>80</v>
      </c>
      <c r="AH75" s="95" t="s">
        <v>2514</v>
      </c>
      <c r="AI75" s="95" t="s">
        <v>2516</v>
      </c>
      <c r="AJ75" s="95" t="s">
        <v>2515</v>
      </c>
      <c r="AK75" s="95" t="s">
        <v>2522</v>
      </c>
      <c r="AL75" s="95" t="s">
        <v>2513</v>
      </c>
      <c r="AM75" s="95" t="s">
        <v>2520</v>
      </c>
      <c r="AN75" s="95" t="s">
        <v>2519</v>
      </c>
      <c r="AO75" s="95" t="s">
        <v>2517</v>
      </c>
      <c r="AP75" s="95" t="s">
        <v>2523</v>
      </c>
      <c r="AQ75" s="95" t="s">
        <v>2521</v>
      </c>
      <c r="AR75" s="95" t="s">
        <v>2518</v>
      </c>
      <c r="AS75" s="103"/>
      <c r="AT75" s="107">
        <f t="shared" ref="AT75" si="8">IF($N$20=1,AJ75,IF($N$20=2,AL75,IF($N$20=3,AS75,IF($N$20=4,AK75,IF($N$20=5,AN75,IF($N$20=6,AO75,IF($N$20=7,AI75,IF($N$20=8,AP75,IF($N$20=9,AM75,IF($N$20=10,AR75,IF($N$20=11,AQ75,IF($N$20=12,AH75,0))))))))))))</f>
        <v>0</v>
      </c>
      <c r="AU75" s="107">
        <v>100</v>
      </c>
      <c r="AV75" s="95" t="s">
        <v>2525</v>
      </c>
      <c r="AW75" s="95" t="s">
        <v>2527</v>
      </c>
      <c r="AX75" s="95" t="s">
        <v>2526</v>
      </c>
      <c r="AY75" s="95" t="s">
        <v>2533</v>
      </c>
      <c r="AZ75" s="95" t="s">
        <v>2524</v>
      </c>
      <c r="BA75" s="95" t="s">
        <v>2531</v>
      </c>
      <c r="BB75" s="95" t="s">
        <v>2530</v>
      </c>
      <c r="BC75" s="95" t="s">
        <v>2528</v>
      </c>
      <c r="BD75" s="95" t="s">
        <v>2534</v>
      </c>
      <c r="BE75" s="95" t="s">
        <v>2532</v>
      </c>
      <c r="BF75" s="95" t="s">
        <v>2529</v>
      </c>
      <c r="BG75" s="103"/>
      <c r="BH75" s="107">
        <f t="shared" ref="BH75:BH76" si="9">IF($N$20=1,AX75,IF($N$20=2,AZ75,IF($N$20=3,BG75,IF($N$20=4,AY75,IF($N$20=5,BB75,IF($N$20=6,BC75,IF($N$20=7,AW75,IF($N$20=8,BD75,IF($N$20=9,BA75,IF($N$20=10,BF75,IF($N$20=11,BE75,IF($N$20=12,AV75,0))))))))))))</f>
        <v>0</v>
      </c>
      <c r="BI75" s="107">
        <v>120</v>
      </c>
    </row>
    <row r="76" spans="1:103" ht="32.1" customHeight="1">
      <c r="A76" s="187"/>
      <c r="B76" s="197" t="str">
        <f>VLOOKUP("STK",Sprachindex!A:Z,Info!$O$6,FALSE)</f>
        <v>STK</v>
      </c>
      <c r="C76" s="136"/>
      <c r="D76" s="136">
        <f>IF($N$24=2,AF76,IF($N$24=3,AT76,IF($N$24=4,BH76,IF($N$24=5,BV76,0))))</f>
        <v>0</v>
      </c>
      <c r="E76" s="283" t="str">
        <f>VLOOKUP("PREFA Regenklappe",Sprachindex!A:Z,Info!$O$6,FALSE)</f>
        <v>PREFA Regenklappe</v>
      </c>
      <c r="F76" s="284"/>
      <c r="G76" s="284"/>
      <c r="H76" s="284"/>
      <c r="I76" s="284"/>
      <c r="J76" s="320" t="str">
        <f>Formeln!A243</f>
        <v/>
      </c>
      <c r="K76" s="321"/>
      <c r="L76" s="137" t="str">
        <f t="shared" si="2"/>
        <v/>
      </c>
      <c r="M76" s="183"/>
      <c r="N76" s="124"/>
      <c r="O76" s="25"/>
      <c r="P76" s="11"/>
      <c r="Q76" s="11" t="str">
        <f>A76 &amp;" " &amp; VLOOKUP("Stk",Sprachindex!A:Z,Info!$O$6,FALSE)</f>
        <v xml:space="preserve"> STK</v>
      </c>
      <c r="T76" s="95" t="s">
        <v>2536</v>
      </c>
      <c r="U76" s="95" t="s">
        <v>2538</v>
      </c>
      <c r="V76" s="95" t="s">
        <v>2537</v>
      </c>
      <c r="W76" s="95" t="s">
        <v>2544</v>
      </c>
      <c r="X76" s="95" t="s">
        <v>2535</v>
      </c>
      <c r="Y76" s="95" t="s">
        <v>2542</v>
      </c>
      <c r="Z76" s="95" t="s">
        <v>2541</v>
      </c>
      <c r="AA76" s="95" t="s">
        <v>2539</v>
      </c>
      <c r="AB76" s="95" t="s">
        <v>2545</v>
      </c>
      <c r="AC76" s="95" t="s">
        <v>2543</v>
      </c>
      <c r="AD76" s="95" t="s">
        <v>2540</v>
      </c>
      <c r="AE76" s="103"/>
      <c r="AF76" s="107">
        <f t="shared" ref="AF76" si="10">IF($N$20=1,V76,IF($N$20=2,X76,IF($N$20=3,AE76,IF($N$20=4,W76,IF($N$20=5,Z76,IF($N$20=6,AA76,IF($N$20=7,U76,IF($N$20=8,AB76,IF($N$20=9,Y76,IF($N$20=10,AD76,IF($N$20=11,AC76,IF($N$20=12,T76,0))))))))))))</f>
        <v>0</v>
      </c>
      <c r="AG76" s="107">
        <v>80</v>
      </c>
      <c r="AH76" s="95" t="s">
        <v>2883</v>
      </c>
      <c r="AI76" s="95" t="s">
        <v>2885</v>
      </c>
      <c r="AJ76" s="95" t="s">
        <v>2884</v>
      </c>
      <c r="AK76" s="95" t="s">
        <v>2891</v>
      </c>
      <c r="AL76" s="95" t="s">
        <v>2882</v>
      </c>
      <c r="AM76" s="95" t="s">
        <v>2889</v>
      </c>
      <c r="AN76" s="95" t="s">
        <v>2888</v>
      </c>
      <c r="AO76" s="95" t="s">
        <v>2886</v>
      </c>
      <c r="AP76" s="95" t="s">
        <v>2892</v>
      </c>
      <c r="AQ76" s="95" t="s">
        <v>2890</v>
      </c>
      <c r="AR76" s="95" t="s">
        <v>2887</v>
      </c>
      <c r="AS76" s="103"/>
      <c r="AT76" s="107">
        <f t="shared" ref="AT76" si="11">IF($N$20=1,AJ76,IF($N$20=2,AL76,IF($N$20=3,AS76,IF($N$20=4,AK76,IF($N$20=5,AN76,IF($N$20=6,AO76,IF($N$20=7,AI76,IF($N$20=8,AP76,IF($N$20=9,AM76,IF($N$20=10,AR76,IF($N$20=11,AQ76,IF($N$20=12,AH76,0))))))))))))</f>
        <v>0</v>
      </c>
      <c r="AU76" s="107">
        <v>100</v>
      </c>
      <c r="AV76" s="95" t="s">
        <v>2894</v>
      </c>
      <c r="AW76" s="95" t="s">
        <v>2896</v>
      </c>
      <c r="AX76" s="95" t="s">
        <v>2895</v>
      </c>
      <c r="AY76" s="95" t="s">
        <v>2902</v>
      </c>
      <c r="AZ76" s="95" t="s">
        <v>2893</v>
      </c>
      <c r="BA76" s="95" t="s">
        <v>2900</v>
      </c>
      <c r="BB76" s="95" t="s">
        <v>2899</v>
      </c>
      <c r="BC76" s="95" t="s">
        <v>2897</v>
      </c>
      <c r="BD76" s="95" t="s">
        <v>2903</v>
      </c>
      <c r="BE76" s="95" t="s">
        <v>2901</v>
      </c>
      <c r="BF76" s="95" t="s">
        <v>2898</v>
      </c>
      <c r="BG76" s="103"/>
      <c r="BH76" s="107">
        <f t="shared" si="9"/>
        <v>0</v>
      </c>
      <c r="BI76" s="107">
        <v>120</v>
      </c>
    </row>
    <row r="77" spans="1:103" ht="32.1" customHeight="1">
      <c r="A77" s="187"/>
      <c r="B77" s="197" t="str">
        <f>VLOOKUP("STK",Sprachindex!A:Z,Info!$O$6,FALSE)</f>
        <v>STK</v>
      </c>
      <c r="C77" s="136"/>
      <c r="D77" s="136">
        <f>IF(AND($N$24=2,J77=Formeln!A247),AF77,IF(AND($N$24=3,J77=Formeln!A247),AT77,IF(AND($N$24=3,J77=Formeln!A248),BH77,IF(AND($N$24=4,J77=Formeln!A247),BV77,IF(AND($N$24=4,J77=Formeln!A248),CJ77,IF(AND($N$24=4,J77=Formeln!A249),CX77,0))))))</f>
        <v>0</v>
      </c>
      <c r="E77" s="283" t="str">
        <f>VLOOKUP("PREFA Rohreinmündung",Sprachindex!A:Z,Info!$O$6,FALSE)</f>
        <v>PREFA Rohreinmündung</v>
      </c>
      <c r="F77" s="284"/>
      <c r="G77" s="284"/>
      <c r="H77" s="284"/>
      <c r="I77" s="284"/>
      <c r="J77" s="336"/>
      <c r="K77" s="284"/>
      <c r="L77" s="137" t="str">
        <f t="shared" si="2"/>
        <v/>
      </c>
      <c r="M77" s="183"/>
      <c r="N77" s="124"/>
      <c r="O77" s="25"/>
      <c r="P77" s="11"/>
      <c r="Q77" s="11" t="str">
        <f>A77 &amp;" " &amp; VLOOKUP("Stk",Sprachindex!A:Z,Info!$O$6,FALSE)</f>
        <v xml:space="preserve"> STK</v>
      </c>
      <c r="R77" s="1">
        <f>IF(OR(N24=2,N24=3),2,1)</f>
        <v>1</v>
      </c>
      <c r="T77" s="95" t="s">
        <v>2552</v>
      </c>
      <c r="U77" s="95" t="s">
        <v>2554</v>
      </c>
      <c r="V77" s="95" t="s">
        <v>2553</v>
      </c>
      <c r="W77" s="95" t="s">
        <v>2560</v>
      </c>
      <c r="X77" s="95" t="s">
        <v>2551</v>
      </c>
      <c r="Y77" s="95" t="s">
        <v>2558</v>
      </c>
      <c r="Z77" s="95" t="s">
        <v>2557</v>
      </c>
      <c r="AA77" s="95" t="s">
        <v>2555</v>
      </c>
      <c r="AB77" s="95" t="s">
        <v>2561</v>
      </c>
      <c r="AC77" s="95" t="s">
        <v>2559</v>
      </c>
      <c r="AD77" s="95" t="s">
        <v>2556</v>
      </c>
      <c r="AE77" s="103"/>
      <c r="AF77" s="107">
        <f t="shared" ref="AF77" si="12">IF($N$20=1,V77,IF($N$20=2,X77,IF($N$20=3,AE77,IF($N$20=4,W77,IF($N$20=5,Z77,IF($N$20=6,AA77,IF($N$20=7,U77,IF($N$20=8,AB77,IF($N$20=9,Y77,IF($N$20=10,AD77,IF($N$20=11,AC77,IF($N$20=12,T77,0))))))))))))</f>
        <v>0</v>
      </c>
      <c r="AG77" s="107" t="s">
        <v>2546</v>
      </c>
      <c r="AH77" s="95" t="s">
        <v>2563</v>
      </c>
      <c r="AI77" s="95" t="s">
        <v>2565</v>
      </c>
      <c r="AJ77" s="95" t="s">
        <v>2564</v>
      </c>
      <c r="AK77" s="95" t="s">
        <v>2571</v>
      </c>
      <c r="AL77" s="95" t="s">
        <v>2562</v>
      </c>
      <c r="AM77" s="95" t="s">
        <v>2569</v>
      </c>
      <c r="AN77" s="95" t="s">
        <v>2568</v>
      </c>
      <c r="AO77" s="95" t="s">
        <v>2566</v>
      </c>
      <c r="AP77" s="95" t="s">
        <v>2572</v>
      </c>
      <c r="AQ77" s="95" t="s">
        <v>2570</v>
      </c>
      <c r="AR77" s="95" t="s">
        <v>2567</v>
      </c>
      <c r="AS77" s="103"/>
      <c r="AT77" s="107">
        <f t="shared" ref="AT77" si="13">IF($N$20=1,AJ77,IF($N$20=2,AL77,IF($N$20=3,AS77,IF($N$20=4,AK77,IF($N$20=5,AN77,IF($N$20=6,AO77,IF($N$20=7,AI77,IF($N$20=8,AP77,IF($N$20=9,AM77,IF($N$20=10,AR77,IF($N$20=11,AQ77,IF($N$20=12,AH77,0))))))))))))</f>
        <v>0</v>
      </c>
      <c r="AU77" s="107" t="s">
        <v>2904</v>
      </c>
      <c r="AV77" s="95" t="s">
        <v>2574</v>
      </c>
      <c r="AW77" s="95" t="s">
        <v>2576</v>
      </c>
      <c r="AX77" s="95" t="s">
        <v>2575</v>
      </c>
      <c r="AY77" s="95" t="s">
        <v>2582</v>
      </c>
      <c r="AZ77" s="95" t="s">
        <v>2573</v>
      </c>
      <c r="BA77" s="95" t="s">
        <v>2580</v>
      </c>
      <c r="BB77" s="95" t="s">
        <v>2579</v>
      </c>
      <c r="BC77" s="95" t="s">
        <v>2577</v>
      </c>
      <c r="BD77" s="95" t="s">
        <v>2583</v>
      </c>
      <c r="BE77" s="95" t="s">
        <v>2581</v>
      </c>
      <c r="BF77" s="95" t="s">
        <v>2578</v>
      </c>
      <c r="BG77" s="103"/>
      <c r="BH77" s="107">
        <f t="shared" ref="BH77" si="14">IF($N$20=1,AX77,IF($N$20=2,AZ77,IF($N$20=3,BG77,IF($N$20=4,AY77,IF($N$20=5,BB77,IF($N$20=6,BC77,IF($N$20=7,AW77,IF($N$20=8,BD77,IF($N$20=9,BA77,IF($N$20=10,BF77,IF($N$20=11,BE77,IF($N$20=12,AV77,0))))))))))))</f>
        <v>0</v>
      </c>
      <c r="BI77" s="107" t="s">
        <v>2547</v>
      </c>
      <c r="BJ77" s="95" t="s">
        <v>2905</v>
      </c>
      <c r="BK77" s="95" t="s">
        <v>2907</v>
      </c>
      <c r="BL77" s="95" t="s">
        <v>2906</v>
      </c>
      <c r="BM77" s="95" t="s">
        <v>2914</v>
      </c>
      <c r="BN77" s="95" t="s">
        <v>2912</v>
      </c>
      <c r="BO77" s="95" t="s">
        <v>2911</v>
      </c>
      <c r="BP77" s="95" t="s">
        <v>2910</v>
      </c>
      <c r="BQ77" s="95" t="s">
        <v>2908</v>
      </c>
      <c r="BR77" s="95" t="s">
        <v>2915</v>
      </c>
      <c r="BS77" s="95" t="s">
        <v>2913</v>
      </c>
      <c r="BT77" s="95" t="s">
        <v>2909</v>
      </c>
      <c r="BU77" s="103"/>
      <c r="BV77" s="107">
        <f>IF($N$20=1,BL77,IF($N$20=2,BN77,IF($N$20=3,BU77,IF($N$20=4,BM77,IF($N$20=5,BP77,IF($N$20=6,BQ77,IF($N$20=7,BK77,IF($N$20=8,BR77,IF($N$20=9,BO77,IF($N$20=10,BT77,IF($N$20=11,BS77,IF($N$20=12,BJ77,0))))))))))))</f>
        <v>0</v>
      </c>
      <c r="BW77" s="107" t="s">
        <v>2916</v>
      </c>
      <c r="BX77" s="95" t="s">
        <v>2585</v>
      </c>
      <c r="BY77" s="95" t="s">
        <v>2587</v>
      </c>
      <c r="BZ77" s="95" t="s">
        <v>2586</v>
      </c>
      <c r="CA77" s="95" t="s">
        <v>2593</v>
      </c>
      <c r="CB77" s="95" t="s">
        <v>2584</v>
      </c>
      <c r="CC77" s="95" t="s">
        <v>2591</v>
      </c>
      <c r="CD77" s="95" t="s">
        <v>2590</v>
      </c>
      <c r="CE77" s="95" t="s">
        <v>2588</v>
      </c>
      <c r="CF77" s="95" t="s">
        <v>2594</v>
      </c>
      <c r="CG77" s="95" t="s">
        <v>2592</v>
      </c>
      <c r="CH77" s="95" t="s">
        <v>2589</v>
      </c>
      <c r="CI77" s="103"/>
      <c r="CJ77" s="107">
        <f t="shared" ref="CJ77" si="15">IF($N$20=1,BZ77,IF($N$20=2,CB77,IF($N$20=3,CI77,IF($N$20=4,CA77,IF($N$20=5,CD77,IF($N$20=6,CE77,IF($N$20=7,BY77,IF($N$20=8,CF77,IF($N$20=9,CC77,IF($N$20=10,CH77,IF($N$20=11,CG77,IF($N$20=12,BX77,0))))))))))))</f>
        <v>0</v>
      </c>
      <c r="CK77" s="107" t="s">
        <v>2548</v>
      </c>
      <c r="CL77" s="95" t="s">
        <v>2596</v>
      </c>
      <c r="CM77" s="95" t="s">
        <v>2598</v>
      </c>
      <c r="CN77" s="95" t="s">
        <v>2597</v>
      </c>
      <c r="CO77" s="95" t="s">
        <v>2604</v>
      </c>
      <c r="CP77" s="95" t="s">
        <v>2595</v>
      </c>
      <c r="CQ77" s="95" t="s">
        <v>2602</v>
      </c>
      <c r="CR77" s="95" t="s">
        <v>2601</v>
      </c>
      <c r="CS77" s="95" t="s">
        <v>2599</v>
      </c>
      <c r="CT77" s="95" t="s">
        <v>2605</v>
      </c>
      <c r="CU77" s="95" t="s">
        <v>2603</v>
      </c>
      <c r="CV77" s="95" t="s">
        <v>2600</v>
      </c>
      <c r="CW77" s="103"/>
      <c r="CX77" s="107">
        <f t="shared" ref="CX77" si="16">IF($N$20=1,CN77,IF($N$20=2,CP77,IF($N$20=3,CW77,IF($N$20=4,CO77,IF($N$20=5,CR77,IF($N$20=6,CS77,IF($N$20=7,CM77,IF($N$20=8,CT77,IF($N$20=9,CQ77,IF($N$20=10,CV77,IF($N$20=11,CU77,IF($N$20=12,CL77,0))))))))))))</f>
        <v>0</v>
      </c>
      <c r="CY77" s="107" t="s">
        <v>2549</v>
      </c>
    </row>
    <row r="78" spans="1:103" ht="32.1" customHeight="1">
      <c r="A78" s="187"/>
      <c r="B78" s="197" t="str">
        <f>VLOOKUP("STK",Sprachindex!A:Z,Info!$O$6,FALSE)</f>
        <v>STK</v>
      </c>
      <c r="C78" s="136"/>
      <c r="D78" s="136" t="str">
        <f>IF(N24=3,AF78,"")</f>
        <v/>
      </c>
      <c r="E78" s="283" t="str">
        <f>VLOOKUP("PREFA Rohreinmündung konisch",Sprachindex!A:Z,Info!$O$6,FALSE)</f>
        <v>PREFA Rohreinmündung konisch</v>
      </c>
      <c r="F78" s="284"/>
      <c r="G78" s="284"/>
      <c r="H78" s="284"/>
      <c r="I78" s="284"/>
      <c r="J78" s="320" t="str">
        <f>IF(RI!N24=0,"",IF(N24=3,VLOOKUP("100 × ⌀ 50–75 mm",Sprachindex!A:Z,Info!$O$6,FALSE),Formeln!A181))</f>
        <v/>
      </c>
      <c r="K78" s="321"/>
      <c r="L78" s="137" t="str">
        <f t="shared" si="2"/>
        <v/>
      </c>
      <c r="M78" s="183"/>
      <c r="N78" s="124"/>
      <c r="O78" s="25"/>
      <c r="P78" s="11"/>
      <c r="Q78" s="11" t="str">
        <f>A78 &amp;" " &amp; VLOOKUP("Stk",Sprachindex!A:Z,Info!$O$6,FALSE)</f>
        <v xml:space="preserve"> STK</v>
      </c>
      <c r="T78" s="95" t="s">
        <v>2607</v>
      </c>
      <c r="U78" s="95" t="s">
        <v>2609</v>
      </c>
      <c r="V78" s="95" t="s">
        <v>2608</v>
      </c>
      <c r="W78" s="95" t="s">
        <v>2615</v>
      </c>
      <c r="X78" s="95" t="s">
        <v>2606</v>
      </c>
      <c r="Y78" s="95" t="s">
        <v>2613</v>
      </c>
      <c r="Z78" s="95" t="s">
        <v>2612</v>
      </c>
      <c r="AA78" s="95" t="s">
        <v>2610</v>
      </c>
      <c r="AB78" s="95" t="s">
        <v>2616</v>
      </c>
      <c r="AC78" s="95" t="s">
        <v>2614</v>
      </c>
      <c r="AD78" s="95" t="s">
        <v>2611</v>
      </c>
      <c r="AE78" s="103"/>
      <c r="AF78" s="107">
        <f t="shared" ref="AF78:AF79" si="17">IF($N$20=1,V78,IF($N$20=2,X78,IF($N$20=3,AE78,IF($N$20=4,W78,IF($N$20=5,Z78,IF($N$20=6,AA78,IF($N$20=7,U78,IF($N$20=8,AB78,IF($N$20=9,Y78,IF($N$20=10,AD78,IF($N$20=11,AC78,IF($N$20=12,T78,0))))))))))))</f>
        <v>0</v>
      </c>
      <c r="AG78" s="107" t="s">
        <v>2550</v>
      </c>
    </row>
    <row r="79" spans="1:103" ht="32.1" customHeight="1">
      <c r="A79" s="187"/>
      <c r="B79" s="197" t="str">
        <f>VLOOKUP("STK",Sprachindex!A:Z,Info!$O$6,FALSE)</f>
        <v>STK</v>
      </c>
      <c r="C79" s="136"/>
      <c r="D79" s="136">
        <f>IF(N24=2,AF79,IF(AND(N24=3,J79=Formeln!A262),AT79,IF(AND(N24=3,J79=Formeln!A263),BH79,IF(N24=4,BV79,0))))</f>
        <v>0</v>
      </c>
      <c r="E79" s="283" t="str">
        <f>VLOOKUP("PREFA Standrohrkappe",Sprachindex!A:Z,Info!$O$6,FALSE)</f>
        <v>PREFA Standrohrkappe</v>
      </c>
      <c r="F79" s="284"/>
      <c r="G79" s="284"/>
      <c r="H79" s="284"/>
      <c r="I79" s="284"/>
      <c r="J79" s="269"/>
      <c r="K79" s="270"/>
      <c r="L79" s="137" t="str">
        <f t="shared" si="2"/>
        <v/>
      </c>
      <c r="M79" s="183"/>
      <c r="N79" s="124"/>
      <c r="O79" s="25"/>
      <c r="P79" s="11"/>
      <c r="Q79" s="11" t="str">
        <f>A79 &amp;" " &amp; VLOOKUP("Stk",Sprachindex!A:Z,Info!$O$6,FALSE)</f>
        <v xml:space="preserve"> STK</v>
      </c>
      <c r="R79" s="1">
        <f>IF(N24=4,10,20)</f>
        <v>20</v>
      </c>
      <c r="T79" s="95" t="s">
        <v>2618</v>
      </c>
      <c r="U79" s="95" t="s">
        <v>2620</v>
      </c>
      <c r="V79" s="95" t="s">
        <v>2619</v>
      </c>
      <c r="W79" s="95" t="s">
        <v>2626</v>
      </c>
      <c r="X79" s="95" t="s">
        <v>2617</v>
      </c>
      <c r="Y79" s="95" t="s">
        <v>2624</v>
      </c>
      <c r="Z79" s="95" t="s">
        <v>2623</v>
      </c>
      <c r="AA79" s="95" t="s">
        <v>2621</v>
      </c>
      <c r="AB79" s="95" t="s">
        <v>2627</v>
      </c>
      <c r="AC79" s="95" t="s">
        <v>2625</v>
      </c>
      <c r="AD79" s="95" t="s">
        <v>2622</v>
      </c>
      <c r="AE79" s="103"/>
      <c r="AF79" s="107">
        <f t="shared" si="17"/>
        <v>0</v>
      </c>
      <c r="AG79" s="107" t="s">
        <v>807</v>
      </c>
      <c r="AH79" s="95" t="s">
        <v>2629</v>
      </c>
      <c r="AI79" s="95" t="s">
        <v>2631</v>
      </c>
      <c r="AJ79" s="95" t="s">
        <v>2630</v>
      </c>
      <c r="AK79" s="95" t="s">
        <v>2637</v>
      </c>
      <c r="AL79" s="95" t="s">
        <v>2628</v>
      </c>
      <c r="AM79" s="95" t="s">
        <v>2635</v>
      </c>
      <c r="AN79" s="95" t="s">
        <v>2634</v>
      </c>
      <c r="AO79" s="95" t="s">
        <v>2632</v>
      </c>
      <c r="AP79" s="95" t="s">
        <v>2638</v>
      </c>
      <c r="AQ79" s="95" t="s">
        <v>2636</v>
      </c>
      <c r="AR79" s="95" t="s">
        <v>2633</v>
      </c>
      <c r="AS79" s="103"/>
      <c r="AT79" s="107">
        <f t="shared" ref="AT79:AT80" si="18">IF($N$20=1,AJ79,IF($N$20=2,AL79,IF($N$20=3,AS79,IF($N$20=4,AK79,IF($N$20=5,AN79,IF($N$20=6,AO79,IF($N$20=7,AI79,IF($N$20=8,AP79,IF($N$20=9,AM79,IF($N$20=10,AR79,IF($N$20=11,AQ79,IF($N$20=12,AH79,0))))))))))))</f>
        <v>0</v>
      </c>
      <c r="AU79" s="107" t="s">
        <v>808</v>
      </c>
      <c r="AV79" s="95" t="s">
        <v>2640</v>
      </c>
      <c r="AW79" s="95" t="s">
        <v>2642</v>
      </c>
      <c r="AX79" s="95" t="s">
        <v>2641</v>
      </c>
      <c r="AY79" s="95" t="s">
        <v>2648</v>
      </c>
      <c r="AZ79" s="95" t="s">
        <v>2639</v>
      </c>
      <c r="BA79" s="95" t="s">
        <v>2646</v>
      </c>
      <c r="BB79" s="95" t="s">
        <v>2645</v>
      </c>
      <c r="BC79" s="95" t="s">
        <v>2643</v>
      </c>
      <c r="BD79" s="95" t="s">
        <v>2649</v>
      </c>
      <c r="BE79" s="95" t="s">
        <v>2647</v>
      </c>
      <c r="BF79" s="95" t="s">
        <v>2644</v>
      </c>
      <c r="BG79" s="103"/>
      <c r="BH79" s="107">
        <f t="shared" ref="BH79:BH80" si="19">IF($N$20=1,AX79,IF($N$20=2,AZ79,IF($N$20=3,BG79,IF($N$20=4,AY79,IF($N$20=5,BB79,IF($N$20=6,BC79,IF($N$20=7,AW79,IF($N$20=8,BD79,IF($N$20=9,BA79,IF($N$20=10,BF79,IF($N$20=11,BE79,IF($N$20=12,AV79,0))))))))))))</f>
        <v>0</v>
      </c>
      <c r="BI79" s="107" t="s">
        <v>809</v>
      </c>
      <c r="BJ79" s="95" t="s">
        <v>2651</v>
      </c>
      <c r="BK79" s="95" t="s">
        <v>2653</v>
      </c>
      <c r="BL79" s="95" t="s">
        <v>2652</v>
      </c>
      <c r="BM79" s="95" t="s">
        <v>2659</v>
      </c>
      <c r="BN79" s="95" t="s">
        <v>2650</v>
      </c>
      <c r="BO79" s="95" t="s">
        <v>2657</v>
      </c>
      <c r="BP79" s="95" t="s">
        <v>2656</v>
      </c>
      <c r="BQ79" s="95" t="s">
        <v>2654</v>
      </c>
      <c r="BR79" s="95" t="s">
        <v>2660</v>
      </c>
      <c r="BS79" s="95" t="s">
        <v>2658</v>
      </c>
      <c r="BT79" s="95" t="s">
        <v>2655</v>
      </c>
      <c r="BU79" s="103"/>
      <c r="BV79" s="107">
        <f t="shared" ref="BV79" si="20">IF($N$20=1,BL79,IF($N$20=2,BN79,IF($N$20=3,BU79,IF($N$20=4,BM79,IF($N$20=5,BP79,IF($N$20=6,BQ79,IF($N$20=7,BK79,IF($N$20=8,BR79,IF($N$20=9,BO79,IF($N$20=10,BT79,IF($N$20=11,BS79,IF($N$20=12,BJ79,0))))))))))))</f>
        <v>0</v>
      </c>
      <c r="BW79" s="107" t="s">
        <v>810</v>
      </c>
    </row>
    <row r="80" spans="1:103" ht="32.1" customHeight="1">
      <c r="A80" s="187"/>
      <c r="B80" s="197" t="str">
        <f>VLOOKUP("STK",Sprachindex!A:Z,Info!$O$6,FALSE)</f>
        <v>STK</v>
      </c>
      <c r="C80" s="136"/>
      <c r="D80" s="136">
        <f t="shared" ref="D80:D81" si="21">IF($N$24=2,AF80,IF($N$24=3,AT80,IF($N$24=4,BH80,IF($N$24=5,BV80,0))))</f>
        <v>0</v>
      </c>
      <c r="E80" s="283" t="str">
        <f>VLOOKUP("PREFA Standrohr mit Reinigungsöffnung",Sprachindex!A:Z,Info!$O$6,FALSE)</f>
        <v>PREFA Standrohr mit Reinigungsöffnung</v>
      </c>
      <c r="F80" s="284"/>
      <c r="G80" s="284"/>
      <c r="H80" s="284"/>
      <c r="I80" s="284"/>
      <c r="J80" s="320" t="str">
        <f>Formeln!A266</f>
        <v/>
      </c>
      <c r="K80" s="321"/>
      <c r="L80" s="137" t="str">
        <f t="shared" si="2"/>
        <v/>
      </c>
      <c r="M80" s="183"/>
      <c r="N80" s="124"/>
      <c r="O80" s="25"/>
      <c r="P80" s="11"/>
      <c r="Q80" s="11" t="str">
        <f>A80 &amp;" " &amp; VLOOKUP("Stk",Sprachindex!A:Z,Info!$O$6,FALSE)</f>
        <v xml:space="preserve"> STK</v>
      </c>
      <c r="T80" s="95" t="s">
        <v>2665</v>
      </c>
      <c r="U80" s="95" t="s">
        <v>2667</v>
      </c>
      <c r="V80" s="95" t="s">
        <v>2666</v>
      </c>
      <c r="W80" s="95" t="s">
        <v>2673</v>
      </c>
      <c r="X80" s="95" t="s">
        <v>2664</v>
      </c>
      <c r="Y80" s="95" t="s">
        <v>2671</v>
      </c>
      <c r="Z80" s="95" t="s">
        <v>2670</v>
      </c>
      <c r="AA80" s="95" t="s">
        <v>2668</v>
      </c>
      <c r="AB80" s="95" t="s">
        <v>2674</v>
      </c>
      <c r="AC80" s="95" t="s">
        <v>2672</v>
      </c>
      <c r="AD80" s="95" t="s">
        <v>2669</v>
      </c>
      <c r="AE80" s="103"/>
      <c r="AF80" s="107">
        <f t="shared" ref="AF80" si="22">IF($N$20=1,V80,IF($N$20=2,X80,IF($N$20=3,AE80,IF($N$20=4,W80,IF($N$20=5,Z80,IF($N$20=6,AA80,IF($N$20=7,U80,IF($N$20=8,AB80,IF($N$20=9,Y80,IF($N$20=10,AD80,IF($N$20=11,AC80,IF($N$20=12,T80,0))))))))))))</f>
        <v>0</v>
      </c>
      <c r="AG80" s="107" t="s">
        <v>2661</v>
      </c>
      <c r="AH80" s="95" t="s">
        <v>2676</v>
      </c>
      <c r="AI80" s="95" t="s">
        <v>2678</v>
      </c>
      <c r="AJ80" s="95" t="s">
        <v>2677</v>
      </c>
      <c r="AK80" s="95" t="s">
        <v>2684</v>
      </c>
      <c r="AL80" s="95" t="s">
        <v>2675</v>
      </c>
      <c r="AM80" s="95" t="s">
        <v>2682</v>
      </c>
      <c r="AN80" s="95" t="s">
        <v>2681</v>
      </c>
      <c r="AO80" s="95" t="s">
        <v>2679</v>
      </c>
      <c r="AP80" s="95" t="s">
        <v>2685</v>
      </c>
      <c r="AQ80" s="95" t="s">
        <v>2683</v>
      </c>
      <c r="AR80" s="95" t="s">
        <v>2680</v>
      </c>
      <c r="AS80" s="103"/>
      <c r="AT80" s="107">
        <f t="shared" si="18"/>
        <v>0</v>
      </c>
      <c r="AU80" s="107" t="s">
        <v>2662</v>
      </c>
      <c r="AV80" s="95" t="s">
        <v>2687</v>
      </c>
      <c r="AW80" s="95" t="s">
        <v>2689</v>
      </c>
      <c r="AX80" s="95" t="s">
        <v>2688</v>
      </c>
      <c r="AY80" s="95" t="s">
        <v>2695</v>
      </c>
      <c r="AZ80" s="95" t="s">
        <v>2686</v>
      </c>
      <c r="BA80" s="95" t="s">
        <v>2693</v>
      </c>
      <c r="BB80" s="95" t="s">
        <v>2692</v>
      </c>
      <c r="BC80" s="95" t="s">
        <v>2690</v>
      </c>
      <c r="BD80" s="95" t="s">
        <v>2696</v>
      </c>
      <c r="BE80" s="95" t="s">
        <v>2694</v>
      </c>
      <c r="BF80" s="95" t="s">
        <v>2691</v>
      </c>
      <c r="BG80" s="103"/>
      <c r="BH80" s="107">
        <f t="shared" si="19"/>
        <v>0</v>
      </c>
      <c r="BI80" s="107" t="s">
        <v>2663</v>
      </c>
    </row>
    <row r="81" spans="1:89" ht="32.1" customHeight="1">
      <c r="A81" s="187"/>
      <c r="B81" s="197" t="str">
        <f>VLOOKUP("STK",Sprachindex!A:Z,Info!$O$6,FALSE)</f>
        <v>STK</v>
      </c>
      <c r="C81" s="136"/>
      <c r="D81" s="136">
        <f t="shared" si="21"/>
        <v>0</v>
      </c>
      <c r="E81" s="283" t="str">
        <f>VLOOKUP("PREFA Rohrverbinder",Sprachindex!A:Z,Info!$O$6,FALSE)</f>
        <v>PREFA Rohrverbinder</v>
      </c>
      <c r="F81" s="284"/>
      <c r="G81" s="284"/>
      <c r="H81" s="284"/>
      <c r="I81" s="284"/>
      <c r="J81" s="320" t="str">
        <f>Formeln!A243</f>
        <v/>
      </c>
      <c r="K81" s="321"/>
      <c r="L81" s="137" t="str">
        <f t="shared" si="2"/>
        <v/>
      </c>
      <c r="M81" s="183"/>
      <c r="N81" s="124"/>
      <c r="O81" s="25"/>
      <c r="P81" s="11"/>
      <c r="Q81" s="11" t="str">
        <f>A81 &amp;" " &amp; VLOOKUP("Stk",Sprachindex!A:Z,Info!$O$6,FALSE)</f>
        <v xml:space="preserve"> STK</v>
      </c>
      <c r="T81" s="95" t="s">
        <v>2336</v>
      </c>
      <c r="U81" s="95" t="s">
        <v>2338</v>
      </c>
      <c r="V81" s="95" t="s">
        <v>2337</v>
      </c>
      <c r="W81" s="95" t="s">
        <v>2344</v>
      </c>
      <c r="X81" s="95" t="s">
        <v>2335</v>
      </c>
      <c r="Y81" s="95" t="s">
        <v>2342</v>
      </c>
      <c r="Z81" s="95" t="s">
        <v>2341</v>
      </c>
      <c r="AA81" s="95" t="s">
        <v>2339</v>
      </c>
      <c r="AB81" s="95" t="s">
        <v>2345</v>
      </c>
      <c r="AC81" s="95" t="s">
        <v>2343</v>
      </c>
      <c r="AD81" s="95" t="s">
        <v>2340</v>
      </c>
      <c r="AE81" s="103"/>
      <c r="AF81" s="107">
        <f>IF($N$20=1,V81,IF($N$20=2,X81,IF($N$20=3,AE81,IF($N$20=4,W81,IF($N$20=5,Z81,IF($N$20=6,AA81,IF($N$20=7,U81,IF($N$20=8,AB81,IF($N$20=9,Y81,IF($N$20=10,AD81,IF($N$20=11,AC81,IF($N$20=12,T81,0))))))))))))</f>
        <v>0</v>
      </c>
      <c r="AG81" s="107">
        <v>80</v>
      </c>
      <c r="AH81" s="95" t="s">
        <v>2347</v>
      </c>
      <c r="AI81" s="95" t="s">
        <v>2349</v>
      </c>
      <c r="AJ81" s="95" t="s">
        <v>2348</v>
      </c>
      <c r="AK81" s="95" t="s">
        <v>2355</v>
      </c>
      <c r="AL81" s="95" t="s">
        <v>2346</v>
      </c>
      <c r="AM81" s="95" t="s">
        <v>2353</v>
      </c>
      <c r="AN81" s="95" t="s">
        <v>2352</v>
      </c>
      <c r="AO81" s="95" t="s">
        <v>2350</v>
      </c>
      <c r="AP81" s="95" t="s">
        <v>2356</v>
      </c>
      <c r="AQ81" s="95" t="s">
        <v>2354</v>
      </c>
      <c r="AR81" s="95" t="s">
        <v>2351</v>
      </c>
      <c r="AS81" s="103"/>
      <c r="AT81" s="107">
        <f>IF($N$20=1,AJ81,IF($N$20=2,AL81,IF($N$20=3,AS81,IF($N$20=4,AK81,IF($N$20=5,AN81,IF($N$20=6,AO81,IF($N$20=7,AI81,IF($N$20=8,AP81,IF($N$20=9,AM81,IF($N$20=10,AR81,IF($N$20=11,AQ81,IF($N$20=12,AH81,0))))))))))))</f>
        <v>0</v>
      </c>
      <c r="AU81" s="107">
        <v>100</v>
      </c>
      <c r="AV81" s="95" t="s">
        <v>2358</v>
      </c>
      <c r="AW81" s="95" t="s">
        <v>2360</v>
      </c>
      <c r="AX81" s="95" t="s">
        <v>2359</v>
      </c>
      <c r="AY81" s="95" t="s">
        <v>2366</v>
      </c>
      <c r="AZ81" s="95" t="s">
        <v>2357</v>
      </c>
      <c r="BA81" s="95" t="s">
        <v>2364</v>
      </c>
      <c r="BB81" s="95" t="s">
        <v>2363</v>
      </c>
      <c r="BC81" s="95" t="s">
        <v>2361</v>
      </c>
      <c r="BD81" s="95" t="s">
        <v>2367</v>
      </c>
      <c r="BE81" s="95" t="s">
        <v>2365</v>
      </c>
      <c r="BF81" s="95" t="s">
        <v>2362</v>
      </c>
      <c r="BG81" s="103"/>
      <c r="BH81" s="107">
        <f>IF($N$20=1,AX81,IF($N$20=2,AZ81,IF($N$20=3,BG81,IF($N$20=4,AY81,IF($N$20=5,BB81,IF($N$20=6,BC81,IF($N$20=7,AW81,IF($N$20=8,BD81,IF($N$20=9,BA81,IF($N$20=10,BF81,IF($N$20=11,BE81,IF($N$20=12,AV81,0))))))))))))</f>
        <v>0</v>
      </c>
      <c r="BI81" s="107">
        <v>120</v>
      </c>
    </row>
    <row r="82" spans="1:89" ht="32.1" customHeight="1">
      <c r="A82" s="187"/>
      <c r="B82" s="197" t="str">
        <f>VLOOKUP("STK",Sprachindex!A:Z,Info!$O$6,FALSE)</f>
        <v>STK</v>
      </c>
      <c r="C82" s="136"/>
      <c r="D82" s="136">
        <f>IF($N$24=2,AF82,IF($N$24=3,AT82,IF($N$24=4,BH82,IF($N$24=5,BV82,0))))</f>
        <v>0</v>
      </c>
      <c r="E82" s="283" t="str">
        <f>VLOOKUP("PREFA Rohrschelle für Standrohre",Sprachindex!A:Z,Info!$O$6,FALSE)</f>
        <v>PREFA Rohrschelle für Standrohre</v>
      </c>
      <c r="F82" s="284"/>
      <c r="G82" s="284"/>
      <c r="H82" s="284"/>
      <c r="I82" s="284"/>
      <c r="J82" s="320" t="str">
        <f>Formeln!A243</f>
        <v/>
      </c>
      <c r="K82" s="321"/>
      <c r="L82" s="137" t="str">
        <f t="shared" si="2"/>
        <v/>
      </c>
      <c r="M82" s="183"/>
      <c r="N82" s="124"/>
      <c r="O82" s="25"/>
      <c r="P82" s="11"/>
      <c r="Q82" s="11" t="str">
        <f>A82 &amp;" " &amp; VLOOKUP("Stk",Sprachindex!A:Z,Info!$O$6,FALSE)</f>
        <v xml:space="preserve"> STK</v>
      </c>
      <c r="T82" s="95" t="s">
        <v>2697</v>
      </c>
      <c r="U82" s="95" t="s">
        <v>2700</v>
      </c>
      <c r="V82" s="95" t="s">
        <v>2698</v>
      </c>
      <c r="W82" s="95" t="s">
        <v>2702</v>
      </c>
      <c r="X82" s="95" t="s">
        <v>2699</v>
      </c>
      <c r="Y82" s="95" t="s">
        <v>2701</v>
      </c>
      <c r="Z82" s="95" t="s">
        <v>2705</v>
      </c>
      <c r="AA82" s="95" t="s">
        <v>2704</v>
      </c>
      <c r="AB82" s="95" t="s">
        <v>2703</v>
      </c>
      <c r="AC82" s="95" t="s">
        <v>2707</v>
      </c>
      <c r="AD82" s="95" t="s">
        <v>2706</v>
      </c>
      <c r="AE82" s="103"/>
      <c r="AF82" s="107">
        <f>IF($N$20=1,V82,IF($N$20=2,X82,IF($N$20=3,AE82,IF($N$20=4,W82,IF($N$20=5,Z82,IF($N$20=6,AA82,IF($N$20=7,U82,IF($N$20=8,AB82,IF($N$20=9,Y82,IF($N$20=10,AD82,IF($N$20=11,AC82,IF($N$20=12,T82,0))))))))))))</f>
        <v>0</v>
      </c>
      <c r="AG82" s="107">
        <v>80</v>
      </c>
      <c r="AH82" s="95" t="s">
        <v>2708</v>
      </c>
      <c r="AI82" s="95" t="s">
        <v>2711</v>
      </c>
      <c r="AJ82" s="95" t="s">
        <v>2709</v>
      </c>
      <c r="AK82" s="95" t="s">
        <v>2713</v>
      </c>
      <c r="AL82" s="95" t="s">
        <v>2710</v>
      </c>
      <c r="AM82" s="95" t="s">
        <v>2712</v>
      </c>
      <c r="AN82" s="95" t="s">
        <v>2716</v>
      </c>
      <c r="AO82" s="95" t="s">
        <v>2715</v>
      </c>
      <c r="AP82" s="95" t="s">
        <v>2714</v>
      </c>
      <c r="AQ82" s="95" t="s">
        <v>2718</v>
      </c>
      <c r="AR82" s="95" t="s">
        <v>2717</v>
      </c>
      <c r="AS82" s="103"/>
      <c r="AT82" s="107">
        <f>IF($N$20=1,AJ82,IF($N$20=2,AL82,IF($N$20=3,AS82,IF($N$20=4,AK82,IF($N$20=5,AN82,IF($N$20=6,AO82,IF($N$20=7,AI82,IF($N$20=8,AP82,IF($N$20=9,AM82,IF($N$20=10,AR82,IF($N$20=11,AQ82,IF($N$20=12,AH82,0))))))))))))</f>
        <v>0</v>
      </c>
      <c r="AU82" s="107">
        <v>100</v>
      </c>
      <c r="AV82" s="95" t="s">
        <v>2719</v>
      </c>
      <c r="AW82" s="95" t="s">
        <v>2722</v>
      </c>
      <c r="AX82" s="95" t="s">
        <v>2720</v>
      </c>
      <c r="AY82" s="95" t="s">
        <v>2724</v>
      </c>
      <c r="AZ82" s="95" t="s">
        <v>2721</v>
      </c>
      <c r="BA82" s="95" t="s">
        <v>2723</v>
      </c>
      <c r="BB82" s="95" t="s">
        <v>2727</v>
      </c>
      <c r="BC82" s="95" t="s">
        <v>2726</v>
      </c>
      <c r="BD82" s="95" t="s">
        <v>2725</v>
      </c>
      <c r="BE82" s="95" t="s">
        <v>2729</v>
      </c>
      <c r="BF82" s="95" t="s">
        <v>2728</v>
      </c>
      <c r="BG82" s="103"/>
      <c r="BH82" s="107">
        <f>IF($N$20=1,AX82,IF($N$20=2,AZ82,IF($N$20=3,BG82,IF($N$20=4,AY82,IF($N$20=5,BB82,IF($N$20=6,BC82,IF($N$20=7,AW82,IF($N$20=8,BD82,IF($N$20=9,BA82,IF($N$20=10,BF82,IF($N$20=11,BE82,IF($N$20=12,AV82,0))))))))))))</f>
        <v>0</v>
      </c>
      <c r="BI82" s="107">
        <v>120</v>
      </c>
    </row>
    <row r="83" spans="1:89" ht="32.1" customHeight="1">
      <c r="A83" s="187"/>
      <c r="B83" s="197" t="str">
        <f>VLOOKUP("STK",Sprachindex!A:Z,Info!$O$6,FALSE)</f>
        <v>STK</v>
      </c>
      <c r="C83" s="136"/>
      <c r="D83" s="136">
        <v>537060</v>
      </c>
      <c r="E83" s="283" t="str">
        <f>VLOOKUP("PREFA Laubfänger (nur in braun)",Sprachindex!A:Z,Info!$O$6,FALSE)</f>
        <v>PREFA Laubfänger (nur in braun)</v>
      </c>
      <c r="F83" s="284"/>
      <c r="G83" s="284"/>
      <c r="H83" s="284"/>
      <c r="I83" s="284"/>
      <c r="J83" s="320" t="str">
        <f>Formeln!A243</f>
        <v/>
      </c>
      <c r="K83" s="321"/>
      <c r="L83" s="137" t="str">
        <f t="shared" si="2"/>
        <v/>
      </c>
      <c r="M83" s="183"/>
      <c r="N83" s="124"/>
      <c r="O83" s="25"/>
      <c r="P83" s="11"/>
      <c r="Q83" s="11" t="str">
        <f>A83 &amp;" " &amp; VLOOKUP("Stk",Sprachindex!A:Z,Info!$O$6,FALSE)</f>
        <v xml:space="preserve"> STK</v>
      </c>
      <c r="T83" s="75" t="s">
        <v>1563</v>
      </c>
      <c r="U83" s="75" t="s">
        <v>3025</v>
      </c>
      <c r="V83" s="75" t="s">
        <v>3015</v>
      </c>
      <c r="W83" s="75" t="s">
        <v>3022</v>
      </c>
      <c r="X83" s="75" t="s">
        <v>702</v>
      </c>
      <c r="Y83" s="75" t="s">
        <v>3027</v>
      </c>
      <c r="Z83" s="75" t="s">
        <v>3023</v>
      </c>
      <c r="AA83" s="75" t="s">
        <v>3024</v>
      </c>
      <c r="AB83" s="75" t="s">
        <v>3026</v>
      </c>
      <c r="AC83" s="75" t="s">
        <v>1578</v>
      </c>
      <c r="AD83" s="75" t="s">
        <v>3028</v>
      </c>
      <c r="AE83" s="75" t="s">
        <v>3021</v>
      </c>
      <c r="AF83" s="75"/>
      <c r="AG83" s="107"/>
      <c r="AH83" s="75" t="s">
        <v>1563</v>
      </c>
      <c r="AI83" s="75" t="s">
        <v>3025</v>
      </c>
      <c r="AJ83" s="75" t="s">
        <v>3015</v>
      </c>
      <c r="AK83" s="75" t="s">
        <v>3022</v>
      </c>
      <c r="AL83" s="75" t="s">
        <v>702</v>
      </c>
      <c r="AM83" s="75" t="s">
        <v>3027</v>
      </c>
      <c r="AN83" s="75" t="s">
        <v>3023</v>
      </c>
      <c r="AO83" s="75" t="s">
        <v>3024</v>
      </c>
      <c r="AP83" s="75" t="s">
        <v>3026</v>
      </c>
      <c r="AQ83" s="75" t="s">
        <v>1578</v>
      </c>
      <c r="AR83" s="75" t="s">
        <v>3028</v>
      </c>
      <c r="AS83" s="75" t="s">
        <v>3021</v>
      </c>
      <c r="AT83" s="75"/>
      <c r="AU83" s="107"/>
      <c r="AV83" s="75" t="s">
        <v>1563</v>
      </c>
      <c r="AW83" s="75" t="s">
        <v>3025</v>
      </c>
      <c r="AX83" s="75" t="s">
        <v>3015</v>
      </c>
      <c r="AY83" s="75" t="s">
        <v>3022</v>
      </c>
      <c r="AZ83" s="75" t="s">
        <v>702</v>
      </c>
      <c r="BA83" s="75" t="s">
        <v>3027</v>
      </c>
      <c r="BB83" s="75" t="s">
        <v>3023</v>
      </c>
      <c r="BC83" s="75" t="s">
        <v>3024</v>
      </c>
      <c r="BD83" s="75" t="s">
        <v>3026</v>
      </c>
      <c r="BE83" s="75" t="s">
        <v>1578</v>
      </c>
      <c r="BF83" s="75" t="s">
        <v>3028</v>
      </c>
      <c r="BG83" s="75" t="s">
        <v>3021</v>
      </c>
      <c r="BH83" s="75"/>
      <c r="BI83" s="107"/>
      <c r="BJ83" s="75" t="s">
        <v>1563</v>
      </c>
      <c r="BK83" s="75" t="s">
        <v>3025</v>
      </c>
      <c r="BL83" s="75" t="s">
        <v>3015</v>
      </c>
      <c r="BM83" s="75" t="s">
        <v>3022</v>
      </c>
      <c r="BN83" s="75" t="s">
        <v>702</v>
      </c>
      <c r="BO83" s="75" t="s">
        <v>3027</v>
      </c>
      <c r="BP83" s="75" t="s">
        <v>3023</v>
      </c>
      <c r="BQ83" s="75" t="s">
        <v>3024</v>
      </c>
      <c r="BR83" s="75" t="s">
        <v>3026</v>
      </c>
      <c r="BS83" s="75" t="s">
        <v>1578</v>
      </c>
      <c r="BT83" s="75" t="s">
        <v>3028</v>
      </c>
      <c r="BU83" s="75" t="s">
        <v>3021</v>
      </c>
      <c r="BV83" s="75"/>
      <c r="BW83" s="107"/>
      <c r="BX83" s="75" t="s">
        <v>1563</v>
      </c>
      <c r="BY83" s="75" t="s">
        <v>3025</v>
      </c>
      <c r="BZ83" s="75" t="s">
        <v>3015</v>
      </c>
      <c r="CA83" s="75" t="s">
        <v>3022</v>
      </c>
      <c r="CB83" s="75" t="s">
        <v>702</v>
      </c>
      <c r="CC83" s="75" t="s">
        <v>3027</v>
      </c>
      <c r="CD83" s="75" t="s">
        <v>3023</v>
      </c>
      <c r="CE83" s="75" t="s">
        <v>3024</v>
      </c>
      <c r="CF83" s="75" t="s">
        <v>3026</v>
      </c>
      <c r="CG83" s="75" t="s">
        <v>1578</v>
      </c>
      <c r="CH83" s="75" t="s">
        <v>3028</v>
      </c>
      <c r="CI83" s="75" t="s">
        <v>3021</v>
      </c>
      <c r="CJ83" s="75"/>
      <c r="CK83" s="107"/>
    </row>
    <row r="84" spans="1:89" ht="32.1" customHeight="1">
      <c r="A84" s="187"/>
      <c r="B84" s="197" t="str">
        <f>VLOOKUP("STK",Sprachindex!A:Z,Info!$O$6,FALSE)</f>
        <v>STK</v>
      </c>
      <c r="C84" s="136"/>
      <c r="D84" s="136">
        <f>IF($N$24=2,AF84,IF($N$24=3,AT84,IF($N$24=4,BH84,IF($N$24=5,BV84,0))))</f>
        <v>0</v>
      </c>
      <c r="E84" s="283" t="str">
        <f>VLOOKUP("PREFA Wasserfangkasten 220/220/330",Sprachindex!A:Z,Info!$O$6,FALSE)</f>
        <v>PREFA Wasserfangkasten 220/220/330</v>
      </c>
      <c r="F84" s="284"/>
      <c r="G84" s="284"/>
      <c r="H84" s="284"/>
      <c r="I84" s="284"/>
      <c r="J84" s="320" t="str">
        <f>Formeln!A234</f>
        <v/>
      </c>
      <c r="K84" s="321"/>
      <c r="L84" s="137" t="str">
        <f t="shared" si="2"/>
        <v/>
      </c>
      <c r="M84" s="183"/>
      <c r="N84" s="124"/>
      <c r="O84" s="25"/>
      <c r="P84" s="11"/>
      <c r="Q84" s="11" t="str">
        <f>A84 &amp;" " &amp; VLOOKUP("Stk",Sprachindex!A:Z,Info!$O$6,FALSE)</f>
        <v xml:space="preserve"> STK</v>
      </c>
      <c r="T84" s="95" t="s">
        <v>2730</v>
      </c>
      <c r="U84" s="95" t="s">
        <v>2733</v>
      </c>
      <c r="V84" s="95" t="s">
        <v>2731</v>
      </c>
      <c r="W84" s="95" t="s">
        <v>2735</v>
      </c>
      <c r="X84" s="95" t="s">
        <v>2732</v>
      </c>
      <c r="Y84" s="95" t="s">
        <v>2737</v>
      </c>
      <c r="Z84" s="95" t="s">
        <v>2736</v>
      </c>
      <c r="AA84" s="95" t="s">
        <v>2734</v>
      </c>
      <c r="AB84" s="95" t="s">
        <v>2738</v>
      </c>
      <c r="AC84" s="95" t="s">
        <v>2739</v>
      </c>
      <c r="AD84" s="95" t="s">
        <v>2740</v>
      </c>
      <c r="AE84" s="103"/>
      <c r="AF84" s="107">
        <f>IF($N$20=1,V84,IF($N$20=2,X84,IF($N$20=3,AE84,IF($N$20=4,W84,IF($N$20=5,Z84,IF($N$20=6,AA84,IF($N$20=7,U84,IF($N$20=8,AB84,IF($N$20=9,Y84,IF($N$20=10,AD84,IF($N$20=11,AC84,IF($N$20=12,T84,0))))))))))))</f>
        <v>0</v>
      </c>
      <c r="AG84" s="107">
        <v>80</v>
      </c>
      <c r="AH84" s="95" t="s">
        <v>2741</v>
      </c>
      <c r="AI84" s="95" t="s">
        <v>2744</v>
      </c>
      <c r="AJ84" s="95" t="s">
        <v>2742</v>
      </c>
      <c r="AK84" s="95" t="s">
        <v>2746</v>
      </c>
      <c r="AL84" s="95" t="s">
        <v>2743</v>
      </c>
      <c r="AM84" s="95" t="s">
        <v>2748</v>
      </c>
      <c r="AN84" s="95" t="s">
        <v>2747</v>
      </c>
      <c r="AO84" s="95" t="s">
        <v>2745</v>
      </c>
      <c r="AP84" s="95" t="s">
        <v>2749</v>
      </c>
      <c r="AQ84" s="95" t="s">
        <v>2750</v>
      </c>
      <c r="AR84" s="95" t="s">
        <v>2751</v>
      </c>
      <c r="AS84" s="103"/>
      <c r="AT84" s="107">
        <f>IF($N$20=1,AJ84,IF($N$20=2,AL84,IF($N$20=3,AS84,IF($N$20=4,AK84,IF($N$20=5,AN84,IF($N$20=6,AO84,IF($N$20=7,AI84,IF($N$20=8,AP84,IF($N$20=9,AM84,IF($N$20=10,AR84,IF($N$20=11,AQ84,IF($N$20=12,AH84,0))))))))))))</f>
        <v>0</v>
      </c>
      <c r="AU84" s="107">
        <v>100</v>
      </c>
      <c r="AV84" s="95" t="s">
        <v>2752</v>
      </c>
      <c r="AW84" s="95" t="s">
        <v>2755</v>
      </c>
      <c r="AX84" s="95" t="s">
        <v>2753</v>
      </c>
      <c r="AY84" s="95" t="s">
        <v>2757</v>
      </c>
      <c r="AZ84" s="95" t="s">
        <v>2754</v>
      </c>
      <c r="BA84" s="95" t="s">
        <v>2759</v>
      </c>
      <c r="BB84" s="95" t="s">
        <v>2758</v>
      </c>
      <c r="BC84" s="95" t="s">
        <v>2756</v>
      </c>
      <c r="BD84" s="95" t="s">
        <v>2760</v>
      </c>
      <c r="BE84" s="95" t="s">
        <v>2761</v>
      </c>
      <c r="BF84" s="95" t="s">
        <v>2762</v>
      </c>
      <c r="BG84" s="103"/>
      <c r="BH84" s="107">
        <f>IF($N$20=1,AX84,IF($N$20=2,AZ84,IF($N$20=3,BG84,IF($N$20=4,AY84,IF($N$20=5,BB84,IF($N$20=6,BC84,IF($N$20=7,AW84,IF($N$20=8,BD84,IF($N$20=9,BA84,IF($N$20=10,BF84,IF($N$20=11,BE84,IF($N$20=12,AV84,0))))))))))))</f>
        <v>0</v>
      </c>
      <c r="BI84" s="107">
        <v>120</v>
      </c>
    </row>
    <row r="85" spans="1:89" ht="32.1" customHeight="1">
      <c r="A85" s="187"/>
      <c r="B85" s="197" t="str">
        <f>VLOOKUP("STK",Sprachindex!A:Z,Info!$O$6,FALSE)</f>
        <v>STK</v>
      </c>
      <c r="C85" s="136"/>
      <c r="D85" s="136">
        <f>IF($N$24=3,AF85,0)</f>
        <v>0</v>
      </c>
      <c r="E85" s="283" t="str">
        <f>VLOOKUP("PREFA Speiereinmündung",Sprachindex!A:Z,Info!$O$6,FALSE)</f>
        <v>PREFA Speiereinmündung</v>
      </c>
      <c r="F85" s="284"/>
      <c r="G85" s="284"/>
      <c r="H85" s="284"/>
      <c r="I85" s="284"/>
      <c r="J85" s="320" t="str">
        <f>IF(N24=0,"",IF(N24=3,Formeln!F198,Formeln!A181))</f>
        <v/>
      </c>
      <c r="K85" s="321"/>
      <c r="L85" s="137" t="str">
        <f t="shared" si="2"/>
        <v/>
      </c>
      <c r="M85" s="183"/>
      <c r="N85" s="124"/>
      <c r="O85" s="25"/>
      <c r="P85" s="11"/>
      <c r="Q85" s="11" t="str">
        <f>A85 &amp;" " &amp; VLOOKUP("Stk",Sprachindex!A:Z,Info!$O$6,FALSE)</f>
        <v xml:space="preserve"> STK</v>
      </c>
      <c r="T85" s="95" t="s">
        <v>2763</v>
      </c>
      <c r="U85" s="95" t="s">
        <v>2766</v>
      </c>
      <c r="V85" s="95" t="s">
        <v>2764</v>
      </c>
      <c r="W85" s="95" t="s">
        <v>2767</v>
      </c>
      <c r="X85" s="95" t="s">
        <v>2765</v>
      </c>
      <c r="Y85" s="95" t="s">
        <v>2771</v>
      </c>
      <c r="Z85" s="95" t="s">
        <v>2768</v>
      </c>
      <c r="AA85" s="95" t="s">
        <v>2769</v>
      </c>
      <c r="AB85" s="95" t="s">
        <v>2770</v>
      </c>
      <c r="AC85" s="95" t="s">
        <v>2772</v>
      </c>
      <c r="AD85" s="95" t="s">
        <v>2773</v>
      </c>
      <c r="AE85" s="103"/>
      <c r="AF85" s="107">
        <f>IF($N$20=1,V85,IF($N$20=2,X85,IF($N$20=3,AE85,IF($N$20=4,W85,IF($N$20=5,Z85,IF($N$20=6,AA85,IF($N$20=7,U85,IF($N$20=8,AB85,IF($N$20=9,Y85,IF($N$20=10,AD85,IF($N$20=11,AC85,IF($N$20=12,T85,0))))))))))))</f>
        <v>0</v>
      </c>
      <c r="AG85" s="107">
        <v>100</v>
      </c>
    </row>
    <row r="86" spans="1:89" ht="32.1" customHeight="1">
      <c r="A86" s="187"/>
      <c r="B86" s="197" t="str">
        <f>VLOOKUP("STK",Sprachindex!A:Z,Info!$O$6,FALSE)</f>
        <v>STK</v>
      </c>
      <c r="C86" s="136"/>
      <c r="D86" s="136">
        <f>IF(J86=Formeln!A271,AF86,IF(J86=Formeln!A272,AT86,0))</f>
        <v>0</v>
      </c>
      <c r="E86" s="283" t="str">
        <f>VLOOKUP("PREFA Patentniete",Sprachindex!A:Z,Info!$O$6,FALSE)</f>
        <v>PREFA Patentniete</v>
      </c>
      <c r="F86" s="284"/>
      <c r="G86" s="284"/>
      <c r="H86" s="284"/>
      <c r="I86" s="284"/>
      <c r="J86" s="269"/>
      <c r="K86" s="270"/>
      <c r="L86" s="137" t="str">
        <f t="shared" si="2"/>
        <v/>
      </c>
      <c r="M86" s="183"/>
      <c r="N86" s="124"/>
      <c r="O86" s="25"/>
      <c r="P86" s="11"/>
      <c r="Q86" s="11" t="str">
        <f>A86 &amp;" " &amp; VLOOKUP("Stk",Sprachindex!A:Z,Info!$O$6,FALSE)</f>
        <v xml:space="preserve"> STK</v>
      </c>
      <c r="T86" s="95" t="s">
        <v>2774</v>
      </c>
      <c r="U86" s="95" t="s">
        <v>2779</v>
      </c>
      <c r="V86" s="95" t="s">
        <v>2775</v>
      </c>
      <c r="W86" s="95" t="s">
        <v>2778</v>
      </c>
      <c r="X86" s="95" t="s">
        <v>2776</v>
      </c>
      <c r="Y86" s="95" t="s">
        <v>2777</v>
      </c>
      <c r="Z86" s="95" t="s">
        <v>2782</v>
      </c>
      <c r="AA86" s="95" t="s">
        <v>2780</v>
      </c>
      <c r="AB86" s="95" t="s">
        <v>2781</v>
      </c>
      <c r="AC86" s="95" t="s">
        <v>2783</v>
      </c>
      <c r="AD86" s="95" t="s">
        <v>2784</v>
      </c>
      <c r="AE86" s="103"/>
      <c r="AF86" s="107">
        <f>IF($N$20=1,V86,IF($N$20=2,X86,IF($N$20=3,AE86,IF($N$20=4,W86,IF($N$20=5,Z86,IF($N$20=6,AA86,IF($N$20=7,U86,IF($N$20=8,AB86,IF($N$20=9,Y86,IF($N$20=10,AD86,IF($N$20=11,AC86,IF($N$20=12,T86,0))))))))))))</f>
        <v>0</v>
      </c>
      <c r="AG86" s="107" t="s">
        <v>2785</v>
      </c>
      <c r="AH86" s="95" t="s">
        <v>2787</v>
      </c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13" t="str">
        <f>AH86</f>
        <v xml:space="preserve">533002  </v>
      </c>
      <c r="AU86" s="107" t="s">
        <v>2786</v>
      </c>
    </row>
    <row r="87" spans="1:89" ht="32.1" customHeight="1">
      <c r="A87" s="187"/>
      <c r="B87" s="197" t="str">
        <f>VLOOKUP("lfm",Sprachindex!A:Z,Info!$O$6,FALSE)</f>
        <v>lfm</v>
      </c>
      <c r="C87" s="136"/>
      <c r="D87" s="136">
        <f>AF87</f>
        <v>0</v>
      </c>
      <c r="E87" s="283" t="str">
        <f>VLOOKUP("PREFA Ablaufkette 5 mm",Sprachindex!A:Z,Info!$O$6,FALSE)</f>
        <v>PREFA Ablaufkette 5 mm</v>
      </c>
      <c r="F87" s="284"/>
      <c r="G87" s="284"/>
      <c r="H87" s="284"/>
      <c r="I87" s="284"/>
      <c r="J87" s="320"/>
      <c r="K87" s="321"/>
      <c r="L87" s="137" t="str">
        <f t="shared" si="2"/>
        <v/>
      </c>
      <c r="M87" s="183"/>
      <c r="N87" s="124"/>
      <c r="O87" s="25"/>
      <c r="P87" s="11"/>
      <c r="Q87" s="11" t="str">
        <f>A87 &amp;" " &amp; VLOOKUP("lfm",Sprachindex!A:Z,Info!$O$6,FALSE)</f>
        <v xml:space="preserve"> lfm</v>
      </c>
      <c r="T87" s="95" t="s">
        <v>2798</v>
      </c>
      <c r="U87" s="95" t="s">
        <v>2790</v>
      </c>
      <c r="V87" s="95" t="s">
        <v>2788</v>
      </c>
      <c r="W87" s="95" t="s">
        <v>2793</v>
      </c>
      <c r="X87" s="95" t="s">
        <v>2789</v>
      </c>
      <c r="Y87" s="95" t="s">
        <v>2791</v>
      </c>
      <c r="Z87" s="95" t="s">
        <v>2795</v>
      </c>
      <c r="AA87" s="95" t="s">
        <v>2792</v>
      </c>
      <c r="AB87" s="95" t="s">
        <v>2794</v>
      </c>
      <c r="AC87" s="95" t="s">
        <v>2796</v>
      </c>
      <c r="AD87" s="95" t="s">
        <v>2797</v>
      </c>
      <c r="AE87" s="103"/>
      <c r="AF87" s="107">
        <f>IF($N$20=1,V87,IF($N$20=2,X87,IF($N$20=3,AE87,IF($N$20=4,W87,IF($N$20=5,Z87,IF($N$20=6,AA87,IF($N$20=7,U87,IF($N$20=8,AB87,IF($N$20=9,Y87,IF($N$20=10,AD87,IF($N$20=11,AC87,IF($N$20=12,T87,0))))))))))))</f>
        <v>0</v>
      </c>
      <c r="AG87" s="107" t="s">
        <v>2799</v>
      </c>
    </row>
    <row r="88" spans="1:89" ht="32.1" customHeight="1">
      <c r="A88" s="187"/>
      <c r="B88" s="197" t="str">
        <f>VLOOKUP("STK",Sprachindex!A:Z,Info!$O$6,FALSE)</f>
        <v>STK</v>
      </c>
      <c r="C88" s="136"/>
      <c r="D88" s="136">
        <f>IF(J88=Formeln!$A$276,AF88,IF(J88=Formeln!$A$277,AT88,0))</f>
        <v>0</v>
      </c>
      <c r="E88" s="283" t="str">
        <f>VLOOKUP("PREFA Hydrolack",Sprachindex!A:Z,Info!$O$6,FALSE)</f>
        <v>PREFA Hydrolack</v>
      </c>
      <c r="F88" s="284"/>
      <c r="G88" s="284"/>
      <c r="H88" s="284"/>
      <c r="I88" s="284"/>
      <c r="J88" s="269"/>
      <c r="K88" s="270"/>
      <c r="L88" s="137" t="str">
        <f t="shared" si="2"/>
        <v/>
      </c>
      <c r="M88" s="183"/>
      <c r="N88" s="124"/>
      <c r="O88" s="25"/>
      <c r="P88" s="11"/>
      <c r="Q88" s="11" t="str">
        <f>A88 &amp;" " &amp; VLOOKUP("Stk",Sprachindex!A:Z,Info!$O$6,FALSE)</f>
        <v xml:space="preserve"> STK</v>
      </c>
      <c r="R88" s="1">
        <f>IF(J88=Formeln!A276,6,1)</f>
        <v>1</v>
      </c>
      <c r="T88" s="103"/>
      <c r="U88" s="95" t="s">
        <v>2806</v>
      </c>
      <c r="V88" s="95" t="s">
        <v>2807</v>
      </c>
      <c r="W88" s="95" t="s">
        <v>2804</v>
      </c>
      <c r="X88" s="95" t="s">
        <v>2809</v>
      </c>
      <c r="Y88" s="95" t="s">
        <v>2805</v>
      </c>
      <c r="Z88" s="95" t="s">
        <v>2808</v>
      </c>
      <c r="AA88" s="95" t="s">
        <v>2812</v>
      </c>
      <c r="AB88" s="95" t="s">
        <v>2810</v>
      </c>
      <c r="AC88" s="103"/>
      <c r="AD88" s="95" t="s">
        <v>2811</v>
      </c>
      <c r="AE88" s="103"/>
      <c r="AF88" s="107">
        <f>IF($N$20=1,V88,IF($N$20=2,X88,IF($N$20=3,AE88,IF($N$20=4,W88,IF($N$20=5,Z88,IF($N$20=6,AA88,IF($N$20=7,U88,IF($N$20=8,AB88,IF($N$20=9,Y88,IF($N$20=10,AD88,IF($N$20=11,AC88,IF($N$20=12,T88,0))))))))))))</f>
        <v>0</v>
      </c>
      <c r="AG88" s="107" t="s">
        <v>2801</v>
      </c>
      <c r="AH88" s="103"/>
      <c r="AI88" s="103"/>
      <c r="AJ88" s="103"/>
      <c r="AK88" s="103"/>
      <c r="AL88" s="95" t="s">
        <v>2802</v>
      </c>
      <c r="AM88" s="103"/>
      <c r="AN88" s="95" t="s">
        <v>2803</v>
      </c>
      <c r="AO88" s="103"/>
      <c r="AP88" s="103"/>
      <c r="AQ88" s="103"/>
      <c r="AR88" s="103"/>
      <c r="AS88" s="103"/>
      <c r="AT88" s="113">
        <f>AH88</f>
        <v>0</v>
      </c>
      <c r="AU88" s="107" t="s">
        <v>2800</v>
      </c>
    </row>
    <row r="89" spans="1:89" ht="32.1" customHeight="1">
      <c r="A89" s="187"/>
      <c r="B89" s="197" t="str">
        <f>VLOOKUP("lfm",Sprachindex!A:Z,Info!$O$6,FALSE)</f>
        <v>lfm</v>
      </c>
      <c r="C89" s="136"/>
      <c r="D89" s="136">
        <v>580001</v>
      </c>
      <c r="E89" s="283" t="str">
        <f>VLOOKUP("PREFA Dila",Sprachindex!A:Z,Info!$O$6,FALSE)</f>
        <v>PREFA Dila</v>
      </c>
      <c r="F89" s="284"/>
      <c r="G89" s="284"/>
      <c r="H89" s="284"/>
      <c r="I89" s="284"/>
      <c r="J89" s="320" t="str">
        <f>VLOOKUP("6.000 × 375 mm",Sprachindex!A:Z,Info!$O$6,FALSE)</f>
        <v>6.000 × 375 mm</v>
      </c>
      <c r="K89" s="321"/>
      <c r="L89" s="137" t="str">
        <f t="shared" si="2"/>
        <v/>
      </c>
      <c r="M89" s="183"/>
      <c r="N89" s="124"/>
      <c r="O89" s="25"/>
      <c r="P89" s="11"/>
      <c r="Q89" s="11" t="str">
        <f>A89 &amp;" " &amp; VLOOKUP("lfm",Sprachindex!A:Z,Info!$O$6,FALSE)</f>
        <v xml:space="preserve"> lfm</v>
      </c>
      <c r="T89" s="75" t="s">
        <v>1563</v>
      </c>
      <c r="U89" s="75" t="s">
        <v>3025</v>
      </c>
      <c r="V89" s="75" t="s">
        <v>3015</v>
      </c>
      <c r="W89" s="75" t="s">
        <v>3022</v>
      </c>
      <c r="X89" s="75" t="s">
        <v>702</v>
      </c>
      <c r="Y89" s="75" t="s">
        <v>3027</v>
      </c>
      <c r="Z89" s="75" t="s">
        <v>3023</v>
      </c>
      <c r="AA89" s="75" t="s">
        <v>3024</v>
      </c>
      <c r="AB89" s="75" t="s">
        <v>3026</v>
      </c>
      <c r="AC89" s="75" t="s">
        <v>1578</v>
      </c>
      <c r="AD89" s="75" t="s">
        <v>3028</v>
      </c>
      <c r="AE89" s="75" t="s">
        <v>3021</v>
      </c>
      <c r="AF89" s="75"/>
      <c r="AG89" s="107"/>
      <c r="AH89" s="75" t="s">
        <v>1563</v>
      </c>
      <c r="AI89" s="75" t="s">
        <v>3025</v>
      </c>
      <c r="AJ89" s="75" t="s">
        <v>3015</v>
      </c>
      <c r="AK89" s="75" t="s">
        <v>3022</v>
      </c>
      <c r="AL89" s="75" t="s">
        <v>702</v>
      </c>
      <c r="AM89" s="75" t="s">
        <v>3027</v>
      </c>
      <c r="AN89" s="75" t="s">
        <v>3023</v>
      </c>
      <c r="AO89" s="75" t="s">
        <v>3024</v>
      </c>
      <c r="AP89" s="75" t="s">
        <v>3026</v>
      </c>
      <c r="AQ89" s="75" t="s">
        <v>1578</v>
      </c>
      <c r="AR89" s="75" t="s">
        <v>3028</v>
      </c>
      <c r="AS89" s="75" t="s">
        <v>3021</v>
      </c>
      <c r="AT89" s="75"/>
      <c r="AU89" s="107"/>
      <c r="AV89" s="75" t="s">
        <v>1563</v>
      </c>
      <c r="AW89" s="75" t="s">
        <v>3025</v>
      </c>
      <c r="AX89" s="75" t="s">
        <v>3015</v>
      </c>
      <c r="AY89" s="75" t="s">
        <v>3022</v>
      </c>
      <c r="AZ89" s="75" t="s">
        <v>702</v>
      </c>
      <c r="BA89" s="75" t="s">
        <v>3027</v>
      </c>
      <c r="BB89" s="75" t="s">
        <v>3023</v>
      </c>
      <c r="BC89" s="75" t="s">
        <v>3024</v>
      </c>
      <c r="BD89" s="75" t="s">
        <v>3026</v>
      </c>
      <c r="BE89" s="75" t="s">
        <v>1578</v>
      </c>
      <c r="BF89" s="75" t="s">
        <v>3028</v>
      </c>
      <c r="BG89" s="75" t="s">
        <v>3021</v>
      </c>
      <c r="BH89" s="75"/>
      <c r="BI89" s="107"/>
      <c r="BJ89" s="75" t="s">
        <v>1563</v>
      </c>
      <c r="BK89" s="75" t="s">
        <v>3025</v>
      </c>
      <c r="BL89" s="75" t="s">
        <v>3015</v>
      </c>
      <c r="BM89" s="75" t="s">
        <v>3022</v>
      </c>
      <c r="BN89" s="75" t="s">
        <v>702</v>
      </c>
      <c r="BO89" s="75" t="s">
        <v>3027</v>
      </c>
      <c r="BP89" s="75" t="s">
        <v>3023</v>
      </c>
      <c r="BQ89" s="75" t="s">
        <v>3024</v>
      </c>
      <c r="BR89" s="75" t="s">
        <v>3026</v>
      </c>
      <c r="BS89" s="75" t="s">
        <v>1578</v>
      </c>
      <c r="BT89" s="75" t="s">
        <v>3028</v>
      </c>
      <c r="BU89" s="75" t="s">
        <v>3021</v>
      </c>
      <c r="BV89" s="75"/>
      <c r="BW89" s="107"/>
    </row>
    <row r="90" spans="1:89" ht="32.1" customHeight="1">
      <c r="A90" s="187"/>
      <c r="B90" s="197" t="str">
        <f>VLOOKUP("STK",Sprachindex!A:Z,Info!$O$6,FALSE)</f>
        <v>STK</v>
      </c>
      <c r="C90" s="136"/>
      <c r="D90" s="197">
        <f>IF($N$23=1,AF90,IF($N$23=2,AT90,IF($N$23=3,BH90,IF($N$23=4,BV90,0))))</f>
        <v>0</v>
      </c>
      <c r="E90" s="283" t="str">
        <f>VLOOKUP("PREFA Hängerinnen-Dila mit Wulst und Blende",Sprachindex!A:Z,Info!$O$6,FALSE)</f>
        <v>PREFA Hängerinnen-Dila mit Wulst und Blende</v>
      </c>
      <c r="F90" s="284"/>
      <c r="G90" s="284"/>
      <c r="H90" s="284"/>
      <c r="I90" s="284"/>
      <c r="J90" s="320" t="str">
        <f>Formeln!A187</f>
        <v/>
      </c>
      <c r="K90" s="321"/>
      <c r="L90" s="137" t="str">
        <f t="shared" si="2"/>
        <v/>
      </c>
      <c r="M90" s="183"/>
      <c r="N90" s="124"/>
      <c r="O90" s="25"/>
      <c r="P90" s="11"/>
      <c r="Q90" s="11" t="str">
        <f>A90 &amp;" " &amp; VLOOKUP("Stk",Sprachindex!A:Z,Info!$O$6,FALSE)</f>
        <v xml:space="preserve"> STK</v>
      </c>
      <c r="T90" s="115" t="s">
        <v>2817</v>
      </c>
      <c r="U90" s="115" t="s">
        <v>2818</v>
      </c>
      <c r="V90" s="115" t="s">
        <v>2819</v>
      </c>
      <c r="W90" s="115" t="s">
        <v>2820</v>
      </c>
      <c r="X90" s="115" t="s">
        <v>2821</v>
      </c>
      <c r="Y90" s="115" t="s">
        <v>2822</v>
      </c>
      <c r="Z90" s="115" t="s">
        <v>2823</v>
      </c>
      <c r="AA90" s="115" t="s">
        <v>2824</v>
      </c>
      <c r="AB90" s="115" t="s">
        <v>2825</v>
      </c>
      <c r="AC90" s="115" t="s">
        <v>2826</v>
      </c>
      <c r="AD90" s="115" t="s">
        <v>2827</v>
      </c>
      <c r="AE90" s="103"/>
      <c r="AF90" s="114">
        <f>IF($N$20=1,V90,IF($N$20=2,X90,IF($N$20=3,AE90,IF($N$20=4,W90,IF($N$20=5,Z90,IF($N$20=6,AA90,IF($N$20=7,U90,IF($N$20=8,AB90,IF($N$20=9,Y90,IF($N$20=10,AD90,IF($N$20=11,AC90,IF($N$20=12,T90,0))))))))))))</f>
        <v>0</v>
      </c>
      <c r="AG90" s="114" t="s">
        <v>2813</v>
      </c>
      <c r="AH90" s="103"/>
      <c r="AI90" s="115" t="s">
        <v>2828</v>
      </c>
      <c r="AJ90" s="115" t="s">
        <v>2829</v>
      </c>
      <c r="AK90" s="115" t="s">
        <v>2830</v>
      </c>
      <c r="AL90" s="115" t="s">
        <v>2831</v>
      </c>
      <c r="AM90" s="115" t="s">
        <v>2832</v>
      </c>
      <c r="AN90" s="115" t="s">
        <v>2833</v>
      </c>
      <c r="AO90" s="115" t="s">
        <v>2834</v>
      </c>
      <c r="AP90" s="115" t="s">
        <v>2835</v>
      </c>
      <c r="AQ90" s="115" t="s">
        <v>2836</v>
      </c>
      <c r="AR90" s="115" t="s">
        <v>2837</v>
      </c>
      <c r="AS90" s="103"/>
      <c r="AT90" s="114">
        <f>IF($N$20=1,AJ90,IF($N$20=2,AL90,IF($N$20=3,AS90,IF($N$20=4,AK90,IF($N$20=5,AN90,IF($N$20=6,AO90,IF($N$20=7,AI90,IF($N$20=8,AP90,IF($N$20=9,AM90,IF($N$20=10,AR90,IF($N$20=11,AQ90,IF($N$20=12,AH90,0))))))))))))</f>
        <v>0</v>
      </c>
      <c r="AU90" s="114" t="s">
        <v>2814</v>
      </c>
      <c r="AV90" s="117"/>
      <c r="AW90" s="115" t="s">
        <v>2838</v>
      </c>
      <c r="AX90" s="115" t="s">
        <v>2839</v>
      </c>
      <c r="AY90" s="115" t="s">
        <v>2840</v>
      </c>
      <c r="AZ90" s="115" t="s">
        <v>2841</v>
      </c>
      <c r="BA90" s="115" t="s">
        <v>2842</v>
      </c>
      <c r="BB90" s="115" t="s">
        <v>2843</v>
      </c>
      <c r="BC90" s="115" t="s">
        <v>2844</v>
      </c>
      <c r="BD90" s="115" t="s">
        <v>2845</v>
      </c>
      <c r="BE90" s="117"/>
      <c r="BF90" s="115" t="s">
        <v>2846</v>
      </c>
      <c r="BG90" s="117"/>
      <c r="BH90" s="114">
        <f>IF($N$20=1,AX90,IF($N$20=2,AZ90,IF($N$20=3,BG90,IF($N$20=4,AY90,IF($N$20=5,BB90,IF($N$20=6,BC90,IF($N$20=7,AW90,IF($N$20=8,BD90,IF($N$20=9,BA90,IF($N$20=10,BF90,IF($N$20=11,BE90,IF($N$20=12,AV90,0))))))))))))</f>
        <v>0</v>
      </c>
      <c r="BI90" s="114" t="s">
        <v>2815</v>
      </c>
      <c r="BJ90" s="117"/>
      <c r="BK90" s="115" t="s">
        <v>2847</v>
      </c>
      <c r="BL90" s="115" t="s">
        <v>2848</v>
      </c>
      <c r="BM90" s="117"/>
      <c r="BN90" s="115" t="s">
        <v>2849</v>
      </c>
      <c r="BO90" s="117"/>
      <c r="BP90" s="117"/>
      <c r="BQ90" s="117"/>
      <c r="BR90" s="117"/>
      <c r="BS90" s="117"/>
      <c r="BT90" s="117"/>
      <c r="BU90" s="117"/>
      <c r="BV90" s="114">
        <f>IF($N$20=1,BL90,IF($N$20=2,BN90,IF($N$20=3,BU90,IF($N$20=4,BM90,IF($N$20=5,BP90,IF($N$20=6,BQ90,IF($N$20=7,BK90,IF($N$20=8,BR90,IF($N$20=9,BO90,IF($N$20=10,BT90,IF($N$20=11,BS90,IF($N$20=12,BJ90,0))))))))))))</f>
        <v>0</v>
      </c>
      <c r="BW90" s="114" t="s">
        <v>2816</v>
      </c>
    </row>
    <row r="91" spans="1:89" ht="32.1" customHeight="1">
      <c r="A91" s="187"/>
      <c r="B91" s="197" t="str">
        <f>VLOOKUP("STK",Sprachindex!A:Z,Info!$O$6,FALSE)</f>
        <v>STK</v>
      </c>
      <c r="C91" s="136"/>
      <c r="D91" s="197">
        <f>IF($N$23=1,AF91,IF($N$23=3,AT91,IF($N$23=4,BH91,0)))</f>
        <v>0</v>
      </c>
      <c r="E91" s="283" t="str">
        <f>VLOOKUP("PREFA Kastenrinnen-Dila mit Wulst und Blende",Sprachindex!A:Z,Info!$O$6,FALSE)</f>
        <v>PREFA Kastenrinnen-Dila mit Wulst und Blende</v>
      </c>
      <c r="F91" s="284"/>
      <c r="G91" s="284"/>
      <c r="H91" s="284"/>
      <c r="I91" s="284"/>
      <c r="J91" s="320" t="str">
        <f>Formeln!A193</f>
        <v/>
      </c>
      <c r="K91" s="321"/>
      <c r="L91" s="137" t="str">
        <f t="shared" si="2"/>
        <v/>
      </c>
      <c r="M91" s="183"/>
      <c r="N91" s="124"/>
      <c r="O91" s="25"/>
      <c r="P91" s="11"/>
      <c r="Q91" s="11" t="str">
        <f>A91 &amp;" " &amp; VLOOKUP("Stk",Sprachindex!A:Z,Info!$O$6,FALSE)</f>
        <v xml:space="preserve"> STK</v>
      </c>
      <c r="T91" s="115" t="s">
        <v>2850</v>
      </c>
      <c r="U91" s="115" t="s">
        <v>2851</v>
      </c>
      <c r="V91" s="115" t="s">
        <v>2852</v>
      </c>
      <c r="W91" s="118"/>
      <c r="X91" s="115" t="s">
        <v>2853</v>
      </c>
      <c r="AE91" s="103"/>
      <c r="AF91" s="114">
        <f>IF($N$20=1,V91,IF($N$20=2,X91,IF($N$20=3,AE91,IF($N$20=4,W91,IF($N$20=5,Z91,IF($N$20=6,AA91,IF($N$20=7,U91,IF($N$20=8,AB91,IF($N$20=9,Y91,IF($N$20=10,AD91,IF($N$20=11,AC91,IF($N$20=12,T91,0))))))))))))</f>
        <v>0</v>
      </c>
      <c r="AG91" s="114" t="s">
        <v>2813</v>
      </c>
      <c r="AH91" s="115" t="s">
        <v>2854</v>
      </c>
      <c r="AI91" s="115" t="s">
        <v>2855</v>
      </c>
      <c r="AJ91" s="115" t="s">
        <v>2856</v>
      </c>
      <c r="AK91" s="115" t="s">
        <v>2857</v>
      </c>
      <c r="AL91" s="115" t="s">
        <v>2858</v>
      </c>
      <c r="AM91" s="115" t="s">
        <v>2859</v>
      </c>
      <c r="AN91" s="115" t="s">
        <v>2860</v>
      </c>
      <c r="AO91" s="115" t="s">
        <v>2861</v>
      </c>
      <c r="AP91" s="115" t="s">
        <v>2862</v>
      </c>
      <c r="AQ91" s="115" t="s">
        <v>2863</v>
      </c>
      <c r="AR91" s="115" t="s">
        <v>2864</v>
      </c>
      <c r="AS91" s="117"/>
      <c r="AT91" s="114">
        <f>IF($N$20=1,AJ91,IF($N$20=2,AL91,IF($N$20=3,AS91,IF($N$20=4,AK91,IF($N$20=5,AN91,IF($N$20=6,AO91,IF($N$20=7,AI91,IF($N$20=8,AP91,IF($N$20=9,AM91,IF($N$20=10,AR91,IF($N$20=11,AQ91,IF($N$20=12,AH91,0))))))))))))</f>
        <v>0</v>
      </c>
      <c r="AU91" s="114" t="s">
        <v>2815</v>
      </c>
      <c r="AV91" s="115" t="s">
        <v>2865</v>
      </c>
      <c r="AW91" s="115" t="s">
        <v>2866</v>
      </c>
      <c r="AX91" s="115" t="s">
        <v>2867</v>
      </c>
      <c r="AY91" s="117"/>
      <c r="AZ91" s="115" t="s">
        <v>2868</v>
      </c>
      <c r="BA91" s="117"/>
      <c r="BB91" s="117"/>
      <c r="BC91" s="117"/>
      <c r="BD91" s="117"/>
      <c r="BE91" s="117"/>
      <c r="BF91" s="117"/>
      <c r="BG91" s="117"/>
      <c r="BH91" s="114">
        <f>IF($N$20=1,AX91,IF($N$20=2,AZ91,IF($N$20=3,BG91,IF($N$20=4,AY91,IF($N$20=5,BB91,IF($N$20=6,BC91,IF($N$20=7,AW91,IF($N$20=8,BD91,IF($N$20=9,BA91,IF($N$20=10,BF91,IF($N$20=11,BE91,IF($N$20=12,AV91,0))))))))))))</f>
        <v>0</v>
      </c>
      <c r="BI91" s="114" t="s">
        <v>2816</v>
      </c>
    </row>
    <row r="92" spans="1:89" ht="32.1" customHeight="1">
      <c r="A92" s="187"/>
      <c r="B92" s="197" t="str">
        <f>VLOOKUP("STK",Sprachindex!A:Z,Info!$O$6,FALSE)</f>
        <v>STK</v>
      </c>
      <c r="C92" s="136"/>
      <c r="D92" s="197">
        <f>IF($N$23=1,AF92,IF($N$23=2,AT92,IF($N$23=3,BH92,IF($N$23=4,BV92,0))))</f>
        <v>0</v>
      </c>
      <c r="E92" s="283" t="str">
        <f>VLOOKUP("PREFA Hängerinnen-Dila ohne Wulst und Blende",Sprachindex!A:Z,Info!$O$6,FALSE)</f>
        <v>PREFA Hängerinnen-Dila ohne Wulst und Blende</v>
      </c>
      <c r="F92" s="284"/>
      <c r="G92" s="284"/>
      <c r="H92" s="284"/>
      <c r="I92" s="284"/>
      <c r="J92" s="320" t="str">
        <f>Formeln!A187</f>
        <v/>
      </c>
      <c r="K92" s="321"/>
      <c r="L92" s="137" t="str">
        <f t="shared" si="2"/>
        <v/>
      </c>
      <c r="M92" s="183"/>
      <c r="N92" s="124"/>
      <c r="O92" s="25"/>
      <c r="P92" s="11"/>
      <c r="Q92" s="11" t="str">
        <f>A92 &amp;" " &amp; VLOOKUP("Stk",Sprachindex!A:Z,Info!$O$6,FALSE)</f>
        <v xml:space="preserve"> STK</v>
      </c>
      <c r="T92" s="95" t="s">
        <v>2876</v>
      </c>
      <c r="AE92" s="103"/>
      <c r="AF92" s="116" t="str">
        <f>T92</f>
        <v xml:space="preserve">547010  </v>
      </c>
      <c r="AG92" s="114" t="s">
        <v>2870</v>
      </c>
      <c r="AH92" s="95" t="s">
        <v>2874</v>
      </c>
      <c r="AS92" s="103"/>
      <c r="AT92" s="116" t="str">
        <f>AH92</f>
        <v xml:space="preserve">547002  </v>
      </c>
      <c r="AU92" s="114" t="s">
        <v>2871</v>
      </c>
      <c r="AV92" s="95" t="s">
        <v>2869</v>
      </c>
      <c r="BG92" s="117"/>
      <c r="BH92" s="116" t="str">
        <f>AV92</f>
        <v xml:space="preserve">547001  </v>
      </c>
      <c r="BI92" s="114" t="s">
        <v>2872</v>
      </c>
      <c r="BJ92" s="95" t="s">
        <v>2875</v>
      </c>
      <c r="BU92" s="117"/>
      <c r="BV92" s="116" t="str">
        <f>BJ92</f>
        <v xml:space="preserve">547003  </v>
      </c>
      <c r="BW92" s="114" t="s">
        <v>2873</v>
      </c>
    </row>
    <row r="93" spans="1:89" ht="32.1" customHeight="1">
      <c r="A93" s="187"/>
      <c r="B93" s="197" t="str">
        <f>VLOOKUP("STK",Sprachindex!A:Z,Info!$O$6,FALSE)</f>
        <v>STK</v>
      </c>
      <c r="C93" s="136"/>
      <c r="D93" s="197">
        <f>IF($N$23=1,AF93,IF($N$23=3,AT93,IF($N$23=4,BH93,0)))</f>
        <v>0</v>
      </c>
      <c r="E93" s="283" t="str">
        <f>VLOOKUP("PREFA Kastenrinnen-Dila ohne Wulst und Blende",Sprachindex!A:Z,Info!$O$6,FALSE)</f>
        <v>PREFA Kastenrinnen-Dila ohne Wulst und Blende</v>
      </c>
      <c r="F93" s="284"/>
      <c r="G93" s="284"/>
      <c r="H93" s="284"/>
      <c r="I93" s="284"/>
      <c r="J93" s="320" t="str">
        <f>Formeln!A193</f>
        <v/>
      </c>
      <c r="K93" s="321"/>
      <c r="L93" s="137" t="str">
        <f t="shared" si="2"/>
        <v/>
      </c>
      <c r="M93" s="183"/>
      <c r="N93" s="124"/>
      <c r="O93" s="25"/>
      <c r="P93" s="11"/>
      <c r="Q93" s="11" t="str">
        <f>A93 &amp;" " &amp; VLOOKUP("Stk",Sprachindex!A:Z,Info!$O$6,FALSE)</f>
        <v xml:space="preserve"> STK</v>
      </c>
      <c r="T93" s="95" t="s">
        <v>2879</v>
      </c>
      <c r="AE93" s="103"/>
      <c r="AF93" s="116" t="str">
        <f>T93</f>
        <v xml:space="preserve">547011  </v>
      </c>
      <c r="AG93" s="114" t="s">
        <v>2870</v>
      </c>
      <c r="AH93" s="95" t="s">
        <v>2877</v>
      </c>
      <c r="AS93" s="117"/>
      <c r="AT93" s="116" t="str">
        <f>AH93</f>
        <v xml:space="preserve">547008  </v>
      </c>
      <c r="AU93" s="114" t="s">
        <v>2872</v>
      </c>
      <c r="AV93" s="95" t="s">
        <v>2878</v>
      </c>
      <c r="BG93" s="117"/>
      <c r="BH93" s="116" t="str">
        <f>AV93</f>
        <v xml:space="preserve">547009  </v>
      </c>
      <c r="BI93" s="114" t="s">
        <v>2873</v>
      </c>
    </row>
    <row r="94" spans="1:89" ht="32.1" customHeight="1">
      <c r="A94" s="187"/>
      <c r="B94" s="197" t="str">
        <f>VLOOKUP("STK",Sprachindex!A:Z,Info!$O$6,FALSE)</f>
        <v>STK</v>
      </c>
      <c r="C94" s="136"/>
      <c r="D94" s="136">
        <v>425002</v>
      </c>
      <c r="E94" s="283" t="str">
        <f>VLOOKUP("PREFA Aluminium-Lötstäbe",Sprachindex!A:Z,Info!$O$6,FALSE)</f>
        <v>PREFA Aluminium-Lötstäbe</v>
      </c>
      <c r="F94" s="284"/>
      <c r="G94" s="284"/>
      <c r="H94" s="284"/>
      <c r="I94" s="284"/>
      <c r="J94" s="320" t="str">
        <f>VLOOKUP("250 g",Sprachindex!A:Z,Info!$O$6,FALSE)</f>
        <v>250 g</v>
      </c>
      <c r="K94" s="321"/>
      <c r="L94" s="137" t="str">
        <f t="shared" si="2"/>
        <v/>
      </c>
      <c r="M94" s="183"/>
      <c r="N94" s="124"/>
      <c r="O94" s="25"/>
      <c r="P94" s="11"/>
      <c r="Q94" s="11" t="str">
        <f>A94 &amp;" " &amp; VLOOKUP("Stk",Sprachindex!A:Z,Info!$O$6,FALSE)</f>
        <v xml:space="preserve"> STK</v>
      </c>
    </row>
    <row r="95" spans="1:89" ht="32.1" customHeight="1" thickBot="1">
      <c r="A95" s="164"/>
      <c r="B95" s="197" t="str">
        <f>VLOOKUP("STK",Sprachindex!A:Z,Info!$O$6,FALSE)</f>
        <v>STK</v>
      </c>
      <c r="C95" s="136"/>
      <c r="D95" s="136">
        <v>420006</v>
      </c>
      <c r="E95" s="283" t="str">
        <f>VLOOKUP("PREFA Silikon Kartusche",Sprachindex!A:Z,Info!$O$6,FALSE)</f>
        <v>PREFA Silikon Kartusche</v>
      </c>
      <c r="F95" s="284"/>
      <c r="G95" s="284"/>
      <c r="H95" s="284"/>
      <c r="I95" s="284"/>
      <c r="J95" s="320" t="str">
        <f>VLOOKUP("300 ml",Sprachindex!A:Z,Info!$O$6,FALSE)</f>
        <v>300 ml</v>
      </c>
      <c r="K95" s="321"/>
      <c r="L95" s="137" t="str">
        <f t="shared" si="2"/>
        <v/>
      </c>
      <c r="M95" s="183"/>
      <c r="N95" s="124"/>
      <c r="O95" s="25"/>
      <c r="P95" s="11"/>
      <c r="Q95" s="11" t="str">
        <f>A95 &amp;" " &amp; VLOOKUP("Stk",Sprachindex!A:Z,Info!$O$6,FALSE)</f>
        <v xml:space="preserve"> STK</v>
      </c>
      <c r="R95" s="6"/>
    </row>
    <row r="96" spans="1:89" ht="32.1" customHeight="1" thickBot="1">
      <c r="A96" s="164"/>
      <c r="B96" s="197" t="str">
        <f>VLOOKUP("STK",Sprachindex!A:Z,Info!$O$6,FALSE)</f>
        <v>STK</v>
      </c>
      <c r="C96" s="136"/>
      <c r="D96" s="136">
        <v>420500</v>
      </c>
      <c r="E96" s="283" t="str">
        <f>VLOOKUP("PREFA Spezialkleberset",Sprachindex!A:Z,Info!$O$6,FALSE)</f>
        <v>PREFA Spezialkleberset</v>
      </c>
      <c r="F96" s="284"/>
      <c r="G96" s="284"/>
      <c r="H96" s="284"/>
      <c r="I96" s="284"/>
      <c r="J96" s="320" t="str">
        <f>VLOOKUP("290 ml reichen für ca. 4 lfm.",Sprachindex!A:Z,Info!$O$6,FALSE)</f>
        <v>290 ml reichen für ca. 4 lfm.</v>
      </c>
      <c r="K96" s="321"/>
      <c r="L96" s="137" t="str">
        <f t="shared" si="2"/>
        <v/>
      </c>
      <c r="M96" s="183"/>
      <c r="N96" s="124"/>
      <c r="O96" s="25"/>
      <c r="P96" s="11"/>
      <c r="Q96" s="11" t="str">
        <f>A96 &amp;" " &amp; VLOOKUP("Stk",Sprachindex!A:Z,Info!$O$6,FALSE)</f>
        <v xml:space="preserve"> STK</v>
      </c>
      <c r="T96" s="89" t="s">
        <v>3015</v>
      </c>
      <c r="U96" s="90" t="s">
        <v>702</v>
      </c>
      <c r="V96" s="90" t="s">
        <v>3021</v>
      </c>
      <c r="W96" s="90" t="s">
        <v>3022</v>
      </c>
      <c r="X96" s="90" t="s">
        <v>3023</v>
      </c>
      <c r="Y96" s="90" t="s">
        <v>3025</v>
      </c>
      <c r="Z96" s="90" t="s">
        <v>1564</v>
      </c>
      <c r="AA96" s="90" t="s">
        <v>3028</v>
      </c>
      <c r="AB96" s="90" t="s">
        <v>3024</v>
      </c>
      <c r="AC96" s="90" t="s">
        <v>3026</v>
      </c>
      <c r="AD96" s="90" t="s">
        <v>3027</v>
      </c>
      <c r="AE96" s="90" t="s">
        <v>1563</v>
      </c>
      <c r="AF96" s="90" t="s">
        <v>3010</v>
      </c>
      <c r="AG96" s="90" t="s">
        <v>3011</v>
      </c>
      <c r="AH96" s="90" t="s">
        <v>3012</v>
      </c>
      <c r="AI96" s="90" t="s">
        <v>3013</v>
      </c>
      <c r="AJ96" s="91" t="s">
        <v>3014</v>
      </c>
    </row>
    <row r="97" spans="1:37" ht="32.1" customHeight="1">
      <c r="A97" s="164"/>
      <c r="B97" s="197" t="str">
        <f>VLOOKUP("kg",Sprachindex!A:Z,Info!$O$6,FALSE)</f>
        <v>kg</v>
      </c>
      <c r="C97" s="136"/>
      <c r="D97" s="136">
        <f>IF($N$20&gt;0,AK97,0)</f>
        <v>0</v>
      </c>
      <c r="E97" s="283" t="str">
        <f>VLOOKUP("Prefalz Farbaluminiumband 0,7 × 500 mm",Sprachindex!A:Z,Info!$O$6,FALSE)</f>
        <v>Prefalz Farbaluminiumband 0,7 × 500 mm</v>
      </c>
      <c r="F97" s="284"/>
      <c r="G97" s="284"/>
      <c r="H97" s="284"/>
      <c r="I97" s="284"/>
      <c r="J97" s="320"/>
      <c r="K97" s="321"/>
      <c r="L97" s="137" t="str">
        <f t="shared" si="2"/>
        <v/>
      </c>
      <c r="M97" s="174"/>
      <c r="N97" s="124"/>
      <c r="O97" s="1"/>
      <c r="P97" s="11"/>
      <c r="Q97" s="11" t="str">
        <f>ROUNDUP(A97/60,0)*1 &amp; " " &amp; R97 &amp; "                         (" &amp;ROUNDUP(A97/60,0)*60&amp;" " &amp; B97 &amp; ")"</f>
        <v>0 Rolle                         (0 kg)</v>
      </c>
      <c r="R97" s="11" t="s">
        <v>44</v>
      </c>
      <c r="T97" s="95" t="s">
        <v>2920</v>
      </c>
      <c r="U97" s="95" t="s">
        <v>2917</v>
      </c>
      <c r="V97" s="95" t="s">
        <v>2923</v>
      </c>
      <c r="W97" s="95" t="s">
        <v>2922</v>
      </c>
      <c r="X97" s="95" t="s">
        <v>2918</v>
      </c>
      <c r="Y97" s="95" t="s">
        <v>2919</v>
      </c>
      <c r="Z97" s="95" t="s">
        <v>2921</v>
      </c>
      <c r="AA97" s="95" t="s">
        <v>2953</v>
      </c>
      <c r="AB97" s="95" t="s">
        <v>2927</v>
      </c>
      <c r="AC97" s="95" t="s">
        <v>2925</v>
      </c>
      <c r="AD97" s="95" t="s">
        <v>2926</v>
      </c>
      <c r="AE97" s="95" t="s">
        <v>2951</v>
      </c>
      <c r="AF97" s="95" t="s">
        <v>2952</v>
      </c>
      <c r="AG97" s="95" t="s">
        <v>2924</v>
      </c>
      <c r="AH97" s="95" t="s">
        <v>2980</v>
      </c>
      <c r="AI97" s="95" t="s">
        <v>2958</v>
      </c>
      <c r="AJ97" s="95" t="s">
        <v>2979</v>
      </c>
      <c r="AK97" s="96">
        <f>IF($N$20=1,T97,IF($N$20=2,U97,IF($N$20=3,V97,IF($N$20=4,W97,IF($N$20=5,X97,IF($N$20=6,Y97,IF($N$20=7,Z97,IF($N$20=8,AA97,IF($N$20=9,AB97,IF($N$20=10,AC97,IF($N$20=11,AD97,IF($N$20=12,AE97,IF($N$20=13,AF97,IF($N$20=14,AG97,IF($N$20=15,AH97,IF($N$20=16,AI97,IF($N$20=17,AJ97,0)))))))))))))))))</f>
        <v>0</v>
      </c>
    </row>
    <row r="98" spans="1:37" ht="32.1" customHeight="1">
      <c r="A98" s="187"/>
      <c r="B98" s="197" t="str">
        <f>VLOOKUP("kg",Sprachindex!A:Z,Info!$O$6,FALSE)</f>
        <v>kg</v>
      </c>
      <c r="C98" s="188"/>
      <c r="D98" s="136">
        <f t="shared" ref="D98:D99" si="23">IF($N$20&gt;0,AK98,0)</f>
        <v>0</v>
      </c>
      <c r="E98" s="283" t="str">
        <f>VLOOKUP("Prefalz Farbaluminiumband 0,7 × 650 mm",Sprachindex!A:Z,Info!$O$6,FALSE)</f>
        <v>Prefalz Farbaluminiumband 0,7 × 650 mm</v>
      </c>
      <c r="F98" s="284"/>
      <c r="G98" s="284"/>
      <c r="H98" s="284"/>
      <c r="I98" s="284"/>
      <c r="J98" s="320"/>
      <c r="K98" s="321"/>
      <c r="L98" s="137" t="str">
        <f t="shared" si="2"/>
        <v/>
      </c>
      <c r="M98" s="183"/>
      <c r="N98" s="124"/>
      <c r="O98" s="25"/>
      <c r="P98" s="11"/>
      <c r="Q98" s="11" t="str">
        <f>ROUNDUP(A98/60,0)*1 &amp; " " &amp; R98 &amp; "                         (" &amp;ROUNDUP(A98/60,0)*60&amp;" " &amp; B98 &amp; ")"</f>
        <v>0 Rolle                         (0 kg)</v>
      </c>
      <c r="R98" s="11" t="s">
        <v>44</v>
      </c>
      <c r="T98" s="95" t="s">
        <v>2931</v>
      </c>
      <c r="U98" s="95" t="s">
        <v>2928</v>
      </c>
      <c r="V98" s="95" t="s">
        <v>2936</v>
      </c>
      <c r="W98" s="95" t="s">
        <v>2933</v>
      </c>
      <c r="X98" s="95" t="s">
        <v>2929</v>
      </c>
      <c r="Y98" s="95" t="s">
        <v>2930</v>
      </c>
      <c r="Z98" s="95" t="s">
        <v>2932</v>
      </c>
      <c r="AA98" s="95" t="s">
        <v>2934</v>
      </c>
      <c r="AB98" s="95" t="s">
        <v>2935</v>
      </c>
      <c r="AC98" s="95" t="s">
        <v>2938</v>
      </c>
      <c r="AD98" s="95" t="s">
        <v>2939</v>
      </c>
      <c r="AE98" s="95" t="s">
        <v>2954</v>
      </c>
      <c r="AF98" s="95" t="s">
        <v>2955</v>
      </c>
      <c r="AG98" s="95" t="s">
        <v>2937</v>
      </c>
      <c r="AH98" s="119"/>
      <c r="AI98" s="95" t="s">
        <v>2957</v>
      </c>
      <c r="AJ98" s="95" t="s">
        <v>2956</v>
      </c>
      <c r="AK98" s="96">
        <f t="shared" ref="AK98:AK99" si="24">IF($N$20=1,T98,IF($N$20=2,U98,IF($N$20=3,V98,IF($N$20=4,W98,IF($N$20=5,X98,IF($N$20=6,Y98,IF($N$20=7,Z98,IF($N$20=8,AA98,IF($N$20=9,AB98,IF($N$20=10,AC98,IF($N$20=11,AD98,IF($N$20=12,AE98,IF($N$20=13,AF98,IF($N$20=14,AG98,IF($N$20=15,AH98,IF($N$20=16,AI98,IF($N$20=17,AJ98,0)))))))))))))))))</f>
        <v>0</v>
      </c>
    </row>
    <row r="99" spans="1:37" ht="32.1" customHeight="1">
      <c r="A99" s="187"/>
      <c r="B99" s="197" t="str">
        <f>VLOOKUP("kg",Sprachindex!A:Z,Info!$O$6,FALSE)</f>
        <v>kg</v>
      </c>
      <c r="C99" s="188"/>
      <c r="D99" s="136">
        <f t="shared" si="23"/>
        <v>0</v>
      </c>
      <c r="E99" s="283" t="str">
        <f>VLOOKUP("Prefalz Farbaluminiumband 0,7 × 1.000 mm",Sprachindex!A:Z,Info!$O$6,FALSE)</f>
        <v>Prefalz Farbaluminiumband 0,7 × 1.000 mm</v>
      </c>
      <c r="F99" s="284"/>
      <c r="G99" s="284"/>
      <c r="H99" s="284"/>
      <c r="I99" s="284"/>
      <c r="J99" s="320"/>
      <c r="K99" s="321"/>
      <c r="L99" s="137" t="str">
        <f t="shared" si="2"/>
        <v/>
      </c>
      <c r="M99" s="183"/>
      <c r="N99" s="124"/>
      <c r="O99" s="25"/>
      <c r="P99" s="11"/>
      <c r="Q99" s="11" t="str">
        <f>ROUNDUP(A99/60,0)*1 &amp; " " &amp; R99 &amp; "                         (" &amp;ROUNDUP(A99/60,0)*60&amp;" " &amp; B99 &amp; ")"</f>
        <v>0 Rolle                         (0 kg)</v>
      </c>
      <c r="R99" s="11" t="s">
        <v>44</v>
      </c>
      <c r="T99" s="95" t="s">
        <v>2943</v>
      </c>
      <c r="U99" s="95" t="s">
        <v>2940</v>
      </c>
      <c r="V99" s="95" t="s">
        <v>2947</v>
      </c>
      <c r="W99" s="95" t="s">
        <v>2945</v>
      </c>
      <c r="X99" s="95" t="s">
        <v>2941</v>
      </c>
      <c r="Y99" s="95" t="s">
        <v>2942</v>
      </c>
      <c r="Z99" s="95" t="s">
        <v>2944</v>
      </c>
      <c r="AA99" s="95" t="s">
        <v>2964</v>
      </c>
      <c r="AB99" s="95" t="s">
        <v>2946</v>
      </c>
      <c r="AC99" s="95" t="s">
        <v>2949</v>
      </c>
      <c r="AD99" s="95" t="s">
        <v>2950</v>
      </c>
      <c r="AE99" s="95" t="s">
        <v>2960</v>
      </c>
      <c r="AF99" s="95" t="s">
        <v>2963</v>
      </c>
      <c r="AG99" s="95" t="s">
        <v>2948</v>
      </c>
      <c r="AH99" s="95" t="s">
        <v>2962</v>
      </c>
      <c r="AI99" s="95" t="s">
        <v>2959</v>
      </c>
      <c r="AJ99" s="95" t="s">
        <v>2961</v>
      </c>
      <c r="AK99" s="96">
        <f t="shared" si="24"/>
        <v>0</v>
      </c>
    </row>
    <row r="100" spans="1:37" ht="32.1" customHeight="1">
      <c r="A100" s="187"/>
      <c r="B100" s="197" t="str">
        <f>VLOOKUP("lfm",Sprachindex!A:Z,Info!$O$6,FALSE)</f>
        <v>lfm</v>
      </c>
      <c r="C100" s="136"/>
      <c r="D100" s="136">
        <f>IF(I100=Formeln!A116,X100,IF(I100=Formeln!A117,T100,IF(I100=Formeln!A118,U100,IF(I100=Formeln!A119,V100,IF(I100=Formeln!A120,W100,0)))))</f>
        <v>0</v>
      </c>
      <c r="E100" s="267" t="str">
        <f>VLOOKUP("PREFA Lochblech DM 5 mm
ca. 24kg/Rolle (0,7x1.000 mm)",Sprachindex!A:Z,Info!$O$6,FALSE)</f>
        <v>PREFA Lochblech DM 5 mm
ca. 24kg/Rolle (0,7x1.000 mm)</v>
      </c>
      <c r="F100" s="268"/>
      <c r="G100" s="268"/>
      <c r="H100" s="268"/>
      <c r="I100" s="330"/>
      <c r="J100" s="331"/>
      <c r="K100" s="332"/>
      <c r="L100" s="137" t="str">
        <f t="shared" si="2"/>
        <v/>
      </c>
      <c r="M100" s="183"/>
      <c r="N100" s="124"/>
      <c r="O100" s="25"/>
      <c r="P100" s="11"/>
      <c r="Q100" s="11" t="str">
        <f>ROUNDUP(A100/21.24,0)*21.24 &amp; " " &amp; R100 &amp; "                         (" &amp;ROUNDUP(A100/24,0)*24&amp;" " &amp;Formeln!A126 &amp; ")"</f>
        <v>0 lfm                         (0 kg)</v>
      </c>
      <c r="R100" s="11" t="str">
        <f>VLOOKUP("lfm",Sprachindex!A:Z,Info!$O$6,FALSE)</f>
        <v>lfm</v>
      </c>
      <c r="T100" s="72">
        <v>507202</v>
      </c>
      <c r="U100" s="72">
        <v>507203</v>
      </c>
      <c r="V100" s="72">
        <v>507204</v>
      </c>
      <c r="W100" s="72">
        <v>507205</v>
      </c>
      <c r="X100" s="72">
        <v>507206</v>
      </c>
      <c r="AC100" s="203"/>
      <c r="AD100" s="203"/>
      <c r="AE100" s="203"/>
      <c r="AF100" s="203"/>
      <c r="AG100" s="203"/>
      <c r="AH100" s="203"/>
      <c r="AI100" s="203"/>
      <c r="AJ100" s="203"/>
    </row>
    <row r="101" spans="1:37" ht="32.1" customHeight="1">
      <c r="A101" s="198"/>
      <c r="B101" s="173"/>
      <c r="C101" s="173"/>
      <c r="D101" s="173"/>
      <c r="E101" s="298"/>
      <c r="F101" s="299"/>
      <c r="G101" s="299"/>
      <c r="H101" s="299"/>
      <c r="I101" s="299"/>
      <c r="J101" s="299"/>
      <c r="K101" s="300"/>
      <c r="L101" s="173"/>
      <c r="M101" s="174"/>
      <c r="N101" s="124"/>
      <c r="O101" s="25"/>
      <c r="P101" s="11"/>
      <c r="Q101" s="11"/>
    </row>
    <row r="102" spans="1:37" ht="32.1" customHeight="1">
      <c r="A102" s="187"/>
      <c r="B102" s="173"/>
      <c r="C102" s="173"/>
      <c r="D102" s="173"/>
      <c r="E102" s="298"/>
      <c r="F102" s="299"/>
      <c r="G102" s="299"/>
      <c r="H102" s="299"/>
      <c r="I102" s="299"/>
      <c r="J102" s="299"/>
      <c r="K102" s="300"/>
      <c r="L102" s="173"/>
      <c r="M102" s="174"/>
      <c r="N102" s="124"/>
      <c r="O102" s="25"/>
      <c r="P102" s="11"/>
      <c r="Q102" s="11"/>
    </row>
    <row r="103" spans="1:37" ht="32.1" customHeight="1" thickBot="1">
      <c r="A103" s="175"/>
      <c r="B103" s="176"/>
      <c r="C103" s="176"/>
      <c r="D103" s="176"/>
      <c r="E103" s="301"/>
      <c r="F103" s="302"/>
      <c r="G103" s="302"/>
      <c r="H103" s="302"/>
      <c r="I103" s="302"/>
      <c r="J103" s="302"/>
      <c r="K103" s="303"/>
      <c r="L103" s="173"/>
      <c r="M103" s="177"/>
      <c r="N103" s="124"/>
      <c r="O103" s="25"/>
      <c r="P103" s="11"/>
      <c r="Q103" s="11"/>
    </row>
    <row r="104" spans="1:37" ht="15" customHeight="1">
      <c r="A104" s="123"/>
      <c r="B104" s="123"/>
      <c r="C104" s="123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124"/>
    </row>
    <row r="105" spans="1:37" ht="16.899999999999999">
      <c r="A105" s="123"/>
      <c r="B105" s="123"/>
      <c r="C105" s="153" t="str">
        <f>VLOOKUP("Zusatzvermerk:",Sprachindex!A:Z,Info!$O$6,FALSE)</f>
        <v>Zusatzvermerk:</v>
      </c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124"/>
    </row>
    <row r="106" spans="1:37" ht="16.899999999999999">
      <c r="A106" s="123"/>
      <c r="B106" s="123"/>
      <c r="C106" s="123"/>
      <c r="D106" s="278"/>
      <c r="E106" s="278"/>
      <c r="F106" s="278"/>
      <c r="G106" s="278"/>
      <c r="H106" s="278"/>
      <c r="I106" s="278"/>
      <c r="J106" s="278"/>
      <c r="K106" s="278"/>
      <c r="L106" s="278"/>
      <c r="M106" s="278"/>
      <c r="N106" s="124"/>
    </row>
    <row r="107" spans="1:37" ht="16.899999999999999">
      <c r="A107" s="123"/>
      <c r="B107" s="123"/>
      <c r="C107" s="123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124"/>
    </row>
    <row r="108" spans="1:37" ht="16.899999999999999">
      <c r="A108" s="123"/>
      <c r="B108" s="123"/>
      <c r="C108" s="123"/>
      <c r="D108" s="278"/>
      <c r="E108" s="278"/>
      <c r="F108" s="278"/>
      <c r="G108" s="278"/>
      <c r="H108" s="278"/>
      <c r="I108" s="278"/>
      <c r="J108" s="278"/>
      <c r="K108" s="278"/>
      <c r="L108" s="278"/>
      <c r="M108" s="278"/>
      <c r="N108" s="124"/>
    </row>
    <row r="109" spans="1:37" ht="16.899999999999999">
      <c r="A109" s="123"/>
      <c r="B109" s="123"/>
      <c r="C109" s="123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124"/>
    </row>
    <row r="110" spans="1:37" ht="16.899999999999999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4"/>
    </row>
    <row r="111" spans="1:37" ht="16.899999999999999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4"/>
    </row>
    <row r="112" spans="1:37" ht="16.899999999999999">
      <c r="A112" s="154" t="str">
        <f>VLOOKUP("Anwendungstechnik",Sprachindex!A:Z,Info!$O$6,FALSE)</f>
        <v>Anwendungstechnik</v>
      </c>
      <c r="B112" s="155"/>
      <c r="C112" s="155"/>
      <c r="D112" s="263"/>
      <c r="E112" s="263"/>
      <c r="F112" s="263"/>
      <c r="G112" s="263"/>
      <c r="H112" s="263"/>
      <c r="I112" s="263"/>
      <c r="J112" s="263"/>
      <c r="K112" s="156" t="str">
        <f>VLOOKUP("Stand:",Sprachindex!A:Z,Info!$O$6,FALSE)</f>
        <v>Stand:</v>
      </c>
      <c r="L112" s="281">
        <v>43182</v>
      </c>
      <c r="M112" s="282"/>
      <c r="N112" s="124"/>
      <c r="O112" s="12" t="str">
        <f>VLOOKUP("Vielen Dank für Ihre Mengenermittlung",Sprachindex!A:Z,Info!$O$6,FALSE)</f>
        <v>Vielen Dank für Ihre Mengenermittlung</v>
      </c>
    </row>
    <row r="113" spans="1:14" ht="16.899999999999999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4"/>
    </row>
    <row r="114" spans="1:14" hidden="1"/>
    <row r="115" spans="1:14" hidden="1"/>
    <row r="116" spans="1:14" hidden="1"/>
    <row r="117" spans="1:14" hidden="1"/>
    <row r="118" spans="1:14" hidden="1"/>
    <row r="119" spans="1:14" hidden="1"/>
    <row r="120" spans="1:14" hidden="1"/>
    <row r="121" spans="1:14" hidden="1"/>
    <row r="122" spans="1:14" hidden="1"/>
    <row r="123" spans="1:14" hidden="1"/>
    <row r="124" spans="1:14" hidden="1"/>
    <row r="125" spans="1:14" hidden="1"/>
    <row r="126" spans="1:14" hidden="1"/>
    <row r="127" spans="1:14" hidden="1"/>
    <row r="128" spans="1:14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</sheetData>
  <sheetProtection algorithmName="SHA-512" hashValue="zzeyBdUx0G5VB5lD4F36yMHkHaxL9imKOdxofFXUWh6IZohJphxKqcDmF8HBHe1MvI6v3YhZIMOatNyCVyzzlQ==" saltValue="Ypl+tyyyrW3iNYkQODhwpw==" spinCount="100000" sheet="1" objects="1" scenarios="1" selectLockedCells="1" autoFilter="0"/>
  <protectedRanges>
    <protectedRange password="DEBF" sqref="P32:Q44 P46:Q96" name="darf vom Benutzer nicht verändert werden_1_2"/>
    <protectedRange password="DEBF" sqref="P101:Q103" name="darf vom Benutzer nicht verändert werden_1_5"/>
    <protectedRange password="DEBF" sqref="R32:R39" name="darf vom Benutzer nicht verändert werden_1_12"/>
    <protectedRange password="DEBF" sqref="P97:Q99" name="darf vom Benutzer nicht verändert werden_1_5_1"/>
    <protectedRange password="DEBF" sqref="R97:R99" name="darf vom Benutzer nicht verändert werden_1_12_1"/>
    <protectedRange password="DEBF" sqref="P100:Q100" name="darf vom Benutzer nicht verändert werden_1_5_1_2"/>
    <protectedRange password="DEBF" sqref="R100" name="darf vom Benutzer nicht verändert werden_1_12_3"/>
    <protectedRange password="DEBF" sqref="P45:Q45" name="darf vom Benutzer nicht verändert werden_1_5_2"/>
  </protectedRanges>
  <autoFilter ref="A30:A103"/>
  <mergeCells count="161">
    <mergeCell ref="J92:K92"/>
    <mergeCell ref="J93:K93"/>
    <mergeCell ref="J94:K94"/>
    <mergeCell ref="D108:M109"/>
    <mergeCell ref="D106:M107"/>
    <mergeCell ref="D104:M105"/>
    <mergeCell ref="L112:M112"/>
    <mergeCell ref="E85:I85"/>
    <mergeCell ref="E84:I84"/>
    <mergeCell ref="J95:K95"/>
    <mergeCell ref="J96:K96"/>
    <mergeCell ref="J97:K97"/>
    <mergeCell ref="J98:K98"/>
    <mergeCell ref="J99:K99"/>
    <mergeCell ref="E99:I99"/>
    <mergeCell ref="E98:I98"/>
    <mergeCell ref="E97:I97"/>
    <mergeCell ref="E96:I96"/>
    <mergeCell ref="E95:I95"/>
    <mergeCell ref="E102:K102"/>
    <mergeCell ref="E101:K101"/>
    <mergeCell ref="D112:J112"/>
    <mergeCell ref="E103:K103"/>
    <mergeCell ref="E100:H100"/>
    <mergeCell ref="E80:I80"/>
    <mergeCell ref="E94:I94"/>
    <mergeCell ref="E93:I93"/>
    <mergeCell ref="E92:I92"/>
    <mergeCell ref="E91:I91"/>
    <mergeCell ref="E90:I90"/>
    <mergeCell ref="E89:I89"/>
    <mergeCell ref="E88:I88"/>
    <mergeCell ref="E87:I87"/>
    <mergeCell ref="E86:I86"/>
    <mergeCell ref="E83:I83"/>
    <mergeCell ref="E82:I82"/>
    <mergeCell ref="E81:I81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I100:K100"/>
    <mergeCell ref="E48:I48"/>
    <mergeCell ref="C12:E12"/>
    <mergeCell ref="C13:E13"/>
    <mergeCell ref="C14:E14"/>
    <mergeCell ref="C10:E10"/>
    <mergeCell ref="C9:E9"/>
    <mergeCell ref="C8:E8"/>
    <mergeCell ref="C17:E17"/>
    <mergeCell ref="C20:E20"/>
    <mergeCell ref="C19:E19"/>
    <mergeCell ref="C18:E18"/>
    <mergeCell ref="E35:H35"/>
    <mergeCell ref="J35:K35"/>
    <mergeCell ref="E34:I34"/>
    <mergeCell ref="J34:K34"/>
    <mergeCell ref="E38:I38"/>
    <mergeCell ref="E37:I37"/>
    <mergeCell ref="J37:K37"/>
    <mergeCell ref="B30:E30"/>
    <mergeCell ref="E31:K31"/>
    <mergeCell ref="E68:I68"/>
    <mergeCell ref="E65:I65"/>
    <mergeCell ref="E52:I52"/>
    <mergeCell ref="E43:I43"/>
    <mergeCell ref="E42:I42"/>
    <mergeCell ref="E41:I41"/>
    <mergeCell ref="E40:I40"/>
    <mergeCell ref="E39:I39"/>
    <mergeCell ref="J42:K42"/>
    <mergeCell ref="J46:K46"/>
    <mergeCell ref="J44:K44"/>
    <mergeCell ref="E63:I63"/>
    <mergeCell ref="E51:I51"/>
    <mergeCell ref="E62:I62"/>
    <mergeCell ref="E61:I61"/>
    <mergeCell ref="E60:I60"/>
    <mergeCell ref="E59:I59"/>
    <mergeCell ref="E58:I58"/>
    <mergeCell ref="E57:I57"/>
    <mergeCell ref="E56:I56"/>
    <mergeCell ref="E45:I45"/>
    <mergeCell ref="J45:K45"/>
    <mergeCell ref="J88:K88"/>
    <mergeCell ref="J89:K89"/>
    <mergeCell ref="J90:K90"/>
    <mergeCell ref="J91:K91"/>
    <mergeCell ref="J65:K65"/>
    <mergeCell ref="J48:K48"/>
    <mergeCell ref="J49:K49"/>
    <mergeCell ref="J50:K50"/>
    <mergeCell ref="J53:K53"/>
    <mergeCell ref="J54:K54"/>
    <mergeCell ref="J55:K55"/>
    <mergeCell ref="J56:K56"/>
    <mergeCell ref="J57:K57"/>
    <mergeCell ref="J58:K58"/>
    <mergeCell ref="J52:K52"/>
    <mergeCell ref="J51:K51"/>
    <mergeCell ref="J61:K61"/>
    <mergeCell ref="J62:K62"/>
    <mergeCell ref="J63:K63"/>
    <mergeCell ref="J68:K68"/>
    <mergeCell ref="J69:K69"/>
    <mergeCell ref="J70:K70"/>
    <mergeCell ref="J71:K71"/>
    <mergeCell ref="J72:K72"/>
    <mergeCell ref="J85:K85"/>
    <mergeCell ref="J86:K86"/>
    <mergeCell ref="J87:K87"/>
    <mergeCell ref="J59:K59"/>
    <mergeCell ref="J60:K60"/>
    <mergeCell ref="E67:H67"/>
    <mergeCell ref="E66:H66"/>
    <mergeCell ref="E54:I54"/>
    <mergeCell ref="E53:I53"/>
    <mergeCell ref="E79:I79"/>
    <mergeCell ref="E78:I78"/>
    <mergeCell ref="E77:I77"/>
    <mergeCell ref="E76:I76"/>
    <mergeCell ref="E75:I75"/>
    <mergeCell ref="E74:I74"/>
    <mergeCell ref="E73:I73"/>
    <mergeCell ref="E72:I72"/>
    <mergeCell ref="J64:K64"/>
    <mergeCell ref="E64:H64"/>
    <mergeCell ref="E71:I71"/>
    <mergeCell ref="E70:I70"/>
    <mergeCell ref="E69:I69"/>
    <mergeCell ref="E55:H55"/>
    <mergeCell ref="J73:K73"/>
    <mergeCell ref="K4:M4"/>
    <mergeCell ref="K5:M5"/>
    <mergeCell ref="K6:M6"/>
    <mergeCell ref="E46:I46"/>
    <mergeCell ref="E44:I44"/>
    <mergeCell ref="J66:K66"/>
    <mergeCell ref="J67:K67"/>
    <mergeCell ref="J83:K83"/>
    <mergeCell ref="J84:K84"/>
    <mergeCell ref="E49:I49"/>
    <mergeCell ref="J47:K47"/>
    <mergeCell ref="E47:H47"/>
    <mergeCell ref="E50:I50"/>
    <mergeCell ref="J33:K33"/>
    <mergeCell ref="E32:H32"/>
    <mergeCell ref="E33:H33"/>
    <mergeCell ref="J36:K36"/>
    <mergeCell ref="J32:K32"/>
    <mergeCell ref="E36:H36"/>
    <mergeCell ref="J43:K43"/>
    <mergeCell ref="J41:K41"/>
    <mergeCell ref="J40:K40"/>
    <mergeCell ref="J39:K39"/>
    <mergeCell ref="J38:K38"/>
  </mergeCells>
  <conditionalFormatting sqref="K17">
    <cfRule type="expression" dxfId="142" priority="194">
      <formula>$N$20=13</formula>
    </cfRule>
  </conditionalFormatting>
  <conditionalFormatting sqref="K16">
    <cfRule type="expression" dxfId="141" priority="246">
      <formula>$N$20=13</formula>
    </cfRule>
  </conditionalFormatting>
  <conditionalFormatting sqref="L18">
    <cfRule type="expression" dxfId="140" priority="244">
      <formula>$N$20=14</formula>
    </cfRule>
  </conditionalFormatting>
  <conditionalFormatting sqref="C8:E8">
    <cfRule type="cellIs" dxfId="139" priority="227" operator="equal">
      <formula>""</formula>
    </cfRule>
  </conditionalFormatting>
  <conditionalFormatting sqref="C9:E9">
    <cfRule type="cellIs" dxfId="138" priority="226" operator="equal">
      <formula>""</formula>
    </cfRule>
  </conditionalFormatting>
  <conditionalFormatting sqref="C10:E10">
    <cfRule type="cellIs" dxfId="137" priority="225" operator="equal">
      <formula>""</formula>
    </cfRule>
  </conditionalFormatting>
  <conditionalFormatting sqref="C12:E12">
    <cfRule type="cellIs" dxfId="136" priority="224" operator="equal">
      <formula>""</formula>
    </cfRule>
  </conditionalFormatting>
  <conditionalFormatting sqref="C13:E13">
    <cfRule type="cellIs" dxfId="135" priority="223" operator="equal">
      <formula>""</formula>
    </cfRule>
  </conditionalFormatting>
  <conditionalFormatting sqref="C14:E14">
    <cfRule type="cellIs" dxfId="134" priority="222" operator="equal">
      <formula>""</formula>
    </cfRule>
  </conditionalFormatting>
  <conditionalFormatting sqref="C17:E17">
    <cfRule type="cellIs" dxfId="133" priority="221" operator="equal">
      <formula>""</formula>
    </cfRule>
  </conditionalFormatting>
  <conditionalFormatting sqref="C18:E18">
    <cfRule type="cellIs" dxfId="132" priority="220" operator="equal">
      <formula>""</formula>
    </cfRule>
  </conditionalFormatting>
  <conditionalFormatting sqref="C19:E19">
    <cfRule type="cellIs" dxfId="131" priority="219" operator="equal">
      <formula>""</formula>
    </cfRule>
  </conditionalFormatting>
  <conditionalFormatting sqref="C20:E20">
    <cfRule type="cellIs" dxfId="130" priority="218" operator="equal">
      <formula>""</formula>
    </cfRule>
  </conditionalFormatting>
  <conditionalFormatting sqref="K4">
    <cfRule type="cellIs" dxfId="129" priority="217" operator="equal">
      <formula>""</formula>
    </cfRule>
  </conditionalFormatting>
  <conditionalFormatting sqref="K5">
    <cfRule type="cellIs" dxfId="128" priority="216" operator="equal">
      <formula>""</formula>
    </cfRule>
  </conditionalFormatting>
  <conditionalFormatting sqref="K6">
    <cfRule type="cellIs" dxfId="127" priority="215" operator="equal">
      <formula>""</formula>
    </cfRule>
  </conditionalFormatting>
  <conditionalFormatting sqref="A32">
    <cfRule type="cellIs" dxfId="126" priority="213" operator="equal">
      <formula>0</formula>
    </cfRule>
  </conditionalFormatting>
  <conditionalFormatting sqref="A33">
    <cfRule type="cellIs" dxfId="125" priority="212" operator="equal">
      <formula>0</formula>
    </cfRule>
  </conditionalFormatting>
  <conditionalFormatting sqref="A34">
    <cfRule type="cellIs" dxfId="124" priority="211" operator="equal">
      <formula>0</formula>
    </cfRule>
  </conditionalFormatting>
  <conditionalFormatting sqref="A35">
    <cfRule type="cellIs" dxfId="123" priority="210" operator="equal">
      <formula>0</formula>
    </cfRule>
  </conditionalFormatting>
  <conditionalFormatting sqref="A36">
    <cfRule type="cellIs" dxfId="122" priority="209" operator="equal">
      <formula>0</formula>
    </cfRule>
  </conditionalFormatting>
  <conditionalFormatting sqref="A37">
    <cfRule type="cellIs" dxfId="121" priority="208" operator="equal">
      <formula>0</formula>
    </cfRule>
  </conditionalFormatting>
  <conditionalFormatting sqref="A38">
    <cfRule type="cellIs" dxfId="120" priority="207" operator="equal">
      <formula>0</formula>
    </cfRule>
  </conditionalFormatting>
  <conditionalFormatting sqref="A39">
    <cfRule type="cellIs" dxfId="119" priority="206" operator="equal">
      <formula>0</formula>
    </cfRule>
  </conditionalFormatting>
  <conditionalFormatting sqref="A40">
    <cfRule type="cellIs" dxfId="118" priority="205" operator="equal">
      <formula>0</formula>
    </cfRule>
  </conditionalFormatting>
  <conditionalFormatting sqref="A41">
    <cfRule type="cellIs" dxfId="117" priority="204" operator="equal">
      <formula>0</formula>
    </cfRule>
  </conditionalFormatting>
  <conditionalFormatting sqref="A42">
    <cfRule type="cellIs" dxfId="116" priority="203" operator="equal">
      <formula>0</formula>
    </cfRule>
  </conditionalFormatting>
  <conditionalFormatting sqref="A43">
    <cfRule type="cellIs" dxfId="115" priority="202" operator="equal">
      <formula>0</formula>
    </cfRule>
  </conditionalFormatting>
  <conditionalFormatting sqref="A44">
    <cfRule type="cellIs" dxfId="114" priority="201" operator="equal">
      <formula>0</formula>
    </cfRule>
  </conditionalFormatting>
  <conditionalFormatting sqref="A46">
    <cfRule type="cellIs" dxfId="113" priority="200" operator="equal">
      <formula>0</formula>
    </cfRule>
  </conditionalFormatting>
  <conditionalFormatting sqref="A47:A50 A53:A94">
    <cfRule type="cellIs" dxfId="112" priority="199" operator="equal">
      <formula>0</formula>
    </cfRule>
  </conditionalFormatting>
  <conditionalFormatting sqref="A101">
    <cfRule type="cellIs" dxfId="111" priority="197" operator="equal">
      <formula>0</formula>
    </cfRule>
  </conditionalFormatting>
  <conditionalFormatting sqref="A102">
    <cfRule type="cellIs" dxfId="110" priority="196" operator="equal">
      <formula>0</formula>
    </cfRule>
  </conditionalFormatting>
  <conditionalFormatting sqref="A103">
    <cfRule type="cellIs" dxfId="109" priority="195" operator="equal">
      <formula>0</formula>
    </cfRule>
  </conditionalFormatting>
  <conditionalFormatting sqref="A100">
    <cfRule type="cellIs" dxfId="108" priority="192" operator="equal">
      <formula>0</formula>
    </cfRule>
  </conditionalFormatting>
  <conditionalFormatting sqref="A99">
    <cfRule type="cellIs" dxfId="107" priority="191" operator="equal">
      <formula>0</formula>
    </cfRule>
  </conditionalFormatting>
  <conditionalFormatting sqref="A98">
    <cfRule type="cellIs" dxfId="106" priority="190" operator="equal">
      <formula>0</formula>
    </cfRule>
  </conditionalFormatting>
  <conditionalFormatting sqref="A97">
    <cfRule type="cellIs" dxfId="105" priority="189" operator="equal">
      <formula>0</formula>
    </cfRule>
  </conditionalFormatting>
  <conditionalFormatting sqref="A96">
    <cfRule type="cellIs" dxfId="104" priority="187" operator="equal">
      <formula>0</formula>
    </cfRule>
  </conditionalFormatting>
  <conditionalFormatting sqref="A95">
    <cfRule type="cellIs" dxfId="103" priority="186" operator="equal">
      <formula>0</formula>
    </cfRule>
  </conditionalFormatting>
  <conditionalFormatting sqref="L32:M32 E46:M46 B46:C46 E40:M41 A40:C41 E38:M38 A38:C38 E32:I33 A32:C33">
    <cfRule type="expression" dxfId="102" priority="168">
      <formula>$N$23=5</formula>
    </cfRule>
  </conditionalFormatting>
  <conditionalFormatting sqref="L33:M33">
    <cfRule type="expression" dxfId="101" priority="167">
      <formula>$N$23=5</formula>
    </cfRule>
  </conditionalFormatting>
  <conditionalFormatting sqref="E34:M34 A34:C34">
    <cfRule type="expression" dxfId="100" priority="162">
      <formula>OR($N$23=1,$N$23=4,$N$23=5)</formula>
    </cfRule>
  </conditionalFormatting>
  <conditionalFormatting sqref="L35:M35 E39:M39 A39:C39 E35:I36 A35:C36">
    <cfRule type="expression" dxfId="99" priority="161">
      <formula>OR($N$23=1,$N$23=2,$N$23=4,$N$23=5)</formula>
    </cfRule>
  </conditionalFormatting>
  <conditionalFormatting sqref="L36:M36">
    <cfRule type="expression" dxfId="98" priority="160">
      <formula>OR($N$23=1,$N$23=2,$N$23=4,$N$23=5)</formula>
    </cfRule>
  </conditionalFormatting>
  <conditionalFormatting sqref="E47:M48 B47:C48">
    <cfRule type="expression" dxfId="97" priority="148">
      <formula>$N$23=2</formula>
    </cfRule>
  </conditionalFormatting>
  <conditionalFormatting sqref="E79:M79 B79:C79 E77:M77 B77:C77">
    <cfRule type="expression" dxfId="96" priority="129">
      <formula>OR($N$24=1,$N$24=5)</formula>
    </cfRule>
  </conditionalFormatting>
  <conditionalFormatting sqref="B101">
    <cfRule type="cellIs" dxfId="95" priority="112" operator="equal">
      <formula>0</formula>
    </cfRule>
  </conditionalFormatting>
  <conditionalFormatting sqref="B102">
    <cfRule type="cellIs" dxfId="94" priority="111" operator="equal">
      <formula>0</formula>
    </cfRule>
  </conditionalFormatting>
  <conditionalFormatting sqref="B103">
    <cfRule type="cellIs" dxfId="93" priority="110" operator="equal">
      <formula>0</formula>
    </cfRule>
  </conditionalFormatting>
  <conditionalFormatting sqref="C103">
    <cfRule type="cellIs" dxfId="92" priority="109" operator="equal">
      <formula>0</formula>
    </cfRule>
  </conditionalFormatting>
  <conditionalFormatting sqref="C102">
    <cfRule type="cellIs" dxfId="91" priority="108" operator="equal">
      <formula>0</formula>
    </cfRule>
  </conditionalFormatting>
  <conditionalFormatting sqref="C101">
    <cfRule type="cellIs" dxfId="90" priority="107" operator="equal">
      <formula>0</formula>
    </cfRule>
  </conditionalFormatting>
  <conditionalFormatting sqref="M101">
    <cfRule type="cellIs" dxfId="89" priority="106" operator="equal">
      <formula>0</formula>
    </cfRule>
  </conditionalFormatting>
  <conditionalFormatting sqref="M102">
    <cfRule type="cellIs" dxfId="88" priority="105" operator="equal">
      <formula>0</formula>
    </cfRule>
  </conditionalFormatting>
  <conditionalFormatting sqref="M103">
    <cfRule type="cellIs" dxfId="87" priority="104" operator="equal">
      <formula>0</formula>
    </cfRule>
  </conditionalFormatting>
  <conditionalFormatting sqref="L101">
    <cfRule type="cellIs" dxfId="86" priority="103" operator="equal">
      <formula>0</formula>
    </cfRule>
  </conditionalFormatting>
  <conditionalFormatting sqref="L102">
    <cfRule type="cellIs" dxfId="85" priority="102" operator="equal">
      <formula>0</formula>
    </cfRule>
  </conditionalFormatting>
  <conditionalFormatting sqref="L103">
    <cfRule type="cellIs" dxfId="84" priority="101" operator="equal">
      <formula>0</formula>
    </cfRule>
  </conditionalFormatting>
  <conditionalFormatting sqref="E101">
    <cfRule type="cellIs" dxfId="83" priority="100" operator="equal">
      <formula>0</formula>
    </cfRule>
  </conditionalFormatting>
  <conditionalFormatting sqref="E102">
    <cfRule type="cellIs" dxfId="82" priority="99" operator="equal">
      <formula>0</formula>
    </cfRule>
  </conditionalFormatting>
  <conditionalFormatting sqref="E103">
    <cfRule type="cellIs" dxfId="81" priority="97" operator="equal">
      <formula>0</formula>
    </cfRule>
  </conditionalFormatting>
  <conditionalFormatting sqref="J77:K77">
    <cfRule type="cellIs" dxfId="80" priority="86" operator="equal">
      <formula>""</formula>
    </cfRule>
  </conditionalFormatting>
  <conditionalFormatting sqref="A52">
    <cfRule type="cellIs" dxfId="79" priority="68" operator="equal">
      <formula>0</formula>
    </cfRule>
  </conditionalFormatting>
  <conditionalFormatting sqref="A51">
    <cfRule type="cellIs" dxfId="78" priority="65" operator="equal">
      <formula>0</formula>
    </cfRule>
  </conditionalFormatting>
  <conditionalFormatting sqref="D38 D40:D41">
    <cfRule type="expression" dxfId="77" priority="32">
      <formula>$N$23=5</formula>
    </cfRule>
  </conditionalFormatting>
  <conditionalFormatting sqref="D34">
    <cfRule type="expression" dxfId="76" priority="31">
      <formula>OR($N$23=1,$N$23=4,$N$23=5)</formula>
    </cfRule>
  </conditionalFormatting>
  <conditionalFormatting sqref="D35:D36">
    <cfRule type="expression" dxfId="75" priority="30">
      <formula>OR($N$23=1,$N$23=2,$N$23=4,$N$23=5)</formula>
    </cfRule>
  </conditionalFormatting>
  <conditionalFormatting sqref="D48">
    <cfRule type="expression" dxfId="74" priority="29">
      <formula>$N$23=2</formula>
    </cfRule>
  </conditionalFormatting>
  <conditionalFormatting sqref="D79 D77">
    <cfRule type="expression" dxfId="73" priority="28">
      <formula>OR($N$24=1,$N$24=5)</formula>
    </cfRule>
  </conditionalFormatting>
  <conditionalFormatting sqref="D103">
    <cfRule type="cellIs" dxfId="72" priority="27" operator="equal">
      <formula>0</formula>
    </cfRule>
  </conditionalFormatting>
  <conditionalFormatting sqref="D102">
    <cfRule type="cellIs" dxfId="71" priority="26" operator="equal">
      <formula>0</formula>
    </cfRule>
  </conditionalFormatting>
  <conditionalFormatting sqref="D101">
    <cfRule type="cellIs" dxfId="70" priority="25" operator="equal">
      <formula>0</formula>
    </cfRule>
  </conditionalFormatting>
  <conditionalFormatting sqref="D39">
    <cfRule type="expression" dxfId="69" priority="24">
      <formula>$N$23=5</formula>
    </cfRule>
  </conditionalFormatting>
  <conditionalFormatting sqref="AG68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{2CCE344C-485F-4998-B0D1-CDB0A1796DD0}</x14:id>
        </ext>
      </extLst>
    </cfRule>
  </conditionalFormatting>
  <conditionalFormatting sqref="T100:X100">
    <cfRule type="duplicateValues" dxfId="68" priority="7"/>
  </conditionalFormatting>
  <conditionalFormatting sqref="A45">
    <cfRule type="cellIs" dxfId="67" priority="6" operator="equal">
      <formula>""</formula>
    </cfRule>
  </conditionalFormatting>
  <conditionalFormatting sqref="J45:K45">
    <cfRule type="expression" dxfId="66" priority="5">
      <formula>$N$23=5</formula>
    </cfRule>
  </conditionalFormatting>
  <conditionalFormatting sqref="I12">
    <cfRule type="expression" dxfId="65" priority="1">
      <formula>$N$12=2</formula>
    </cfRule>
    <cfRule type="expression" dxfId="64" priority="4">
      <formula>$N$12=1</formula>
    </cfRule>
  </conditionalFormatting>
  <conditionalFormatting sqref="L12">
    <cfRule type="expression" dxfId="63" priority="2">
      <formula>$N$12=1</formula>
    </cfRule>
    <cfRule type="expression" dxfId="62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2" fitToHeight="0" orientation="portrait" r:id="rId1"/>
  <drawing r:id="rId2"/>
  <legacyDrawing r:id="rId3"/>
  <oleObjects>
    <mc:AlternateContent xmlns:mc="http://schemas.openxmlformats.org/markup-compatibility/2006">
      <mc:Choice Requires="x14">
        <oleObject shapeId="1107" r:id="rId4">
          <objectPr defaultSize="0" autoPict="0" r:id="rId5">
            <anchor moveWithCells="1" sizeWithCells="1">
              <from>
                <xdr:col>2</xdr:col>
                <xdr:colOff>180975</xdr:colOff>
                <xdr:row>45</xdr:row>
                <xdr:rowOff>66675</xdr:rowOff>
              </from>
              <to>
                <xdr:col>2</xdr:col>
                <xdr:colOff>600075</xdr:colOff>
                <xdr:row>45</xdr:row>
                <xdr:rowOff>352425</xdr:rowOff>
              </to>
            </anchor>
          </objectPr>
        </oleObject>
      </mc:Choice>
      <mc:Fallback>
        <oleObject shapeId="1107" r:id="rId4"/>
      </mc:Fallback>
    </mc:AlternateContent>
    <mc:AlternateContent xmlns:mc="http://schemas.openxmlformats.org/markup-compatibility/2006">
      <mc:Choice Requires="x14">
        <oleObject shapeId="1108" r:id="rId6">
          <objectPr defaultSize="0" autoPict="0" r:id="rId7">
            <anchor moveWithCells="1" sizeWithCells="1">
              <from>
                <xdr:col>2</xdr:col>
                <xdr:colOff>85725</xdr:colOff>
                <xdr:row>65</xdr:row>
                <xdr:rowOff>76200</xdr:rowOff>
              </from>
              <to>
                <xdr:col>2</xdr:col>
                <xdr:colOff>695325</xdr:colOff>
                <xdr:row>65</xdr:row>
                <xdr:rowOff>333375</xdr:rowOff>
              </to>
            </anchor>
          </objectPr>
        </oleObject>
      </mc:Choice>
      <mc:Fallback>
        <oleObject shapeId="1108" r:id="rId6"/>
      </mc:Fallback>
    </mc:AlternateContent>
    <mc:AlternateContent xmlns:mc="http://schemas.openxmlformats.org/markup-compatibility/2006">
      <mc:Choice Requires="x14">
        <oleObject shapeId="1109" r:id="rId8">
          <objectPr defaultSize="0" autoPict="0" r:id="rId9">
            <anchor moveWithCells="1" sizeWithCells="1">
              <from>
                <xdr:col>2</xdr:col>
                <xdr:colOff>161925</xdr:colOff>
                <xdr:row>73</xdr:row>
                <xdr:rowOff>66675</xdr:rowOff>
              </from>
              <to>
                <xdr:col>2</xdr:col>
                <xdr:colOff>609600</xdr:colOff>
                <xdr:row>73</xdr:row>
                <xdr:rowOff>361950</xdr:rowOff>
              </to>
            </anchor>
          </objectPr>
        </oleObject>
      </mc:Choice>
      <mc:Fallback>
        <oleObject shapeId="1109" r:id="rId8"/>
      </mc:Fallback>
    </mc:AlternateContent>
    <mc:AlternateContent xmlns:mc="http://schemas.openxmlformats.org/markup-compatibility/2006">
      <mc:Choice Requires="x14">
        <oleObject shapeId="1110" r:id="rId10">
          <objectPr defaultSize="0" autoPict="0" r:id="rId11">
            <anchor moveWithCells="1" sizeWithCells="1">
              <from>
                <xdr:col>2</xdr:col>
                <xdr:colOff>180975</xdr:colOff>
                <xdr:row>89</xdr:row>
                <xdr:rowOff>66675</xdr:rowOff>
              </from>
              <to>
                <xdr:col>2</xdr:col>
                <xdr:colOff>600075</xdr:colOff>
                <xdr:row>89</xdr:row>
                <xdr:rowOff>352425</xdr:rowOff>
              </to>
            </anchor>
          </objectPr>
        </oleObject>
      </mc:Choice>
      <mc:Fallback>
        <oleObject shapeId="1110" r:id="rId1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1" r:id="rId12" name="Group Box 7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Group Box 9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419100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4" name="Group Box 56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419100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5" name="Option Button 64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16" name="Option Button 6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171450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17" name="Option Button 6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171450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18" name="Option Button 6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171450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19" name="Option Button 7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171450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20" name="Option Button 7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171450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21" name="Option Button 7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171450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22" name="Option Button 74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14</xdr:row>
                    <xdr:rowOff>19050</xdr:rowOff>
                  </from>
                  <to>
                    <xdr:col>8</xdr:col>
                    <xdr:colOff>809625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23" name="Option Button 75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15</xdr:row>
                    <xdr:rowOff>19050</xdr:rowOff>
                  </from>
                  <to>
                    <xdr:col>8</xdr:col>
                    <xdr:colOff>809625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24" name="Option Button 76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16</xdr:row>
                    <xdr:rowOff>19050</xdr:rowOff>
                  </from>
                  <to>
                    <xdr:col>8</xdr:col>
                    <xdr:colOff>809625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25" name="Option Button 77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17</xdr:row>
                    <xdr:rowOff>19050</xdr:rowOff>
                  </from>
                  <to>
                    <xdr:col>8</xdr:col>
                    <xdr:colOff>809625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26" name="Option Button 78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18</xdr:row>
                    <xdr:rowOff>19050</xdr:rowOff>
                  </from>
                  <to>
                    <xdr:col>8</xdr:col>
                    <xdr:colOff>809625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27" name="Option Button 79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19</xdr:row>
                    <xdr:rowOff>19050</xdr:rowOff>
                  </from>
                  <to>
                    <xdr:col>8</xdr:col>
                    <xdr:colOff>809625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28" name="Group Box 88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22</xdr:row>
                    <xdr:rowOff>0</xdr:rowOff>
                  </from>
                  <to>
                    <xdr:col>7</xdr:col>
                    <xdr:colOff>762000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29" name="Option Button 9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23</xdr:row>
                    <xdr:rowOff>9525</xdr:rowOff>
                  </from>
                  <to>
                    <xdr:col>6</xdr:col>
                    <xdr:colOff>323850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30" name="Group Box 114">
              <controlPr defaultSize="0" print="0" autoFill="0" autoPict="0" altText="">
                <anchor moveWithCells="1">
                  <from>
                    <xdr:col>8</xdr:col>
                    <xdr:colOff>762000</xdr:colOff>
                    <xdr:row>22</xdr:row>
                    <xdr:rowOff>0</xdr:rowOff>
                  </from>
                  <to>
                    <xdr:col>12</xdr:col>
                    <xdr:colOff>133350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31" name="Option Button 115">
              <controlPr defaultSize="0" autoFill="0" autoLine="0" autoPict="0" altText="">
                <anchor moveWithCells="1">
                  <from>
                    <xdr:col>8</xdr:col>
                    <xdr:colOff>781050</xdr:colOff>
                    <xdr:row>23</xdr:row>
                    <xdr:rowOff>9525</xdr:rowOff>
                  </from>
                  <to>
                    <xdr:col>9</xdr:col>
                    <xdr:colOff>352425</xdr:colOff>
                    <xdr:row>23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32" name="Option Button 132">
              <controlPr locked="0" defaultSize="0" autoFill="0" autoLine="0" autoPict="0" altText="">
                <anchor moveWithCells="1">
                  <from>
                    <xdr:col>5</xdr:col>
                    <xdr:colOff>561975</xdr:colOff>
                    <xdr:row>24</xdr:row>
                    <xdr:rowOff>9525</xdr:rowOff>
                  </from>
                  <to>
                    <xdr:col>6</xdr:col>
                    <xdr:colOff>323850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33" name="Option Button 133">
              <controlPr defaultSize="0" autoFill="0" autoLine="0" autoPict="0" altText="">
                <anchor moveWithCells="1">
                  <from>
                    <xdr:col>8</xdr:col>
                    <xdr:colOff>781050</xdr:colOff>
                    <xdr:row>24</xdr:row>
                    <xdr:rowOff>9525</xdr:rowOff>
                  </from>
                  <to>
                    <xdr:col>9</xdr:col>
                    <xdr:colOff>352425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34" name="Option Button 134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25</xdr:row>
                    <xdr:rowOff>9525</xdr:rowOff>
                  </from>
                  <to>
                    <xdr:col>6</xdr:col>
                    <xdr:colOff>323850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35" name="Option Button 135">
              <controlPr defaultSize="0" autoFill="0" autoLine="0" autoPict="0" altText="">
                <anchor moveWithCells="1">
                  <from>
                    <xdr:col>8</xdr:col>
                    <xdr:colOff>781050</xdr:colOff>
                    <xdr:row>25</xdr:row>
                    <xdr:rowOff>9525</xdr:rowOff>
                  </from>
                  <to>
                    <xdr:col>9</xdr:col>
                    <xdr:colOff>352425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36" name="Option Button 136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26</xdr:row>
                    <xdr:rowOff>0</xdr:rowOff>
                  </from>
                  <to>
                    <xdr:col>6</xdr:col>
                    <xdr:colOff>323850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37" name="Option Button 137">
              <controlPr defaultSize="0" autoFill="0" autoLine="0" autoPict="0" altText="">
                <anchor moveWithCells="1">
                  <from>
                    <xdr:col>8</xdr:col>
                    <xdr:colOff>781050</xdr:colOff>
                    <xdr:row>26</xdr:row>
                    <xdr:rowOff>0</xdr:rowOff>
                  </from>
                  <to>
                    <xdr:col>9</xdr:col>
                    <xdr:colOff>352425</xdr:colOff>
                    <xdr:row>26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38" name="Option Button 13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27</xdr:row>
                    <xdr:rowOff>0</xdr:rowOff>
                  </from>
                  <to>
                    <xdr:col>6</xdr:col>
                    <xdr:colOff>323850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39" name="Option Button 139">
              <controlPr defaultSize="0" autoFill="0" autoLine="0" autoPict="0" altText="">
                <anchor moveWithCells="1">
                  <from>
                    <xdr:col>8</xdr:col>
                    <xdr:colOff>781050</xdr:colOff>
                    <xdr:row>27</xdr:row>
                    <xdr:rowOff>0</xdr:rowOff>
                  </from>
                  <to>
                    <xdr:col>9</xdr:col>
                    <xdr:colOff>352425</xdr:colOff>
                    <xdr:row>27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40" name="Option Button 140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41" name="Option Button 141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CE344C-485F-4998-B0D1-CDB0A1796DD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AG68</xm:sqref>
        </x14:conditionalFormatting>
        <x14:conditionalFormatting xmlns:xm="http://schemas.microsoft.com/office/excel/2006/main">
          <x14:cfRule type="expression" priority="81" id="{EBE77847-9FEF-4C00-AE23-4AD93A8D7616}">
            <xm:f>$J$32=Formeln!$A$1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J32:K32</xm:sqref>
        </x14:conditionalFormatting>
        <x14:conditionalFormatting xmlns:xm="http://schemas.microsoft.com/office/excel/2006/main">
          <x14:cfRule type="expression" priority="80" id="{8C3F2971-5A23-4535-8B30-E5FA2FB25512}">
            <xm:f>$J$33=Formeln!$A$1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J33:K33</xm:sqref>
        </x14:conditionalFormatting>
        <x14:conditionalFormatting xmlns:xm="http://schemas.microsoft.com/office/excel/2006/main">
          <x14:cfRule type="expression" priority="79" id="{91F71A24-3623-49FB-8519-1A8867BB8B14}">
            <xm:f>$J$35=Formeln!$A$1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J35:K35</xm:sqref>
        </x14:conditionalFormatting>
        <x14:conditionalFormatting xmlns:xm="http://schemas.microsoft.com/office/excel/2006/main">
          <x14:cfRule type="expression" priority="78" id="{6B44FB93-4B60-4871-ADB8-E82602C03B6C}">
            <xm:f>$J$36=Formeln!$A$1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J36:K36</xm:sqref>
        </x14:conditionalFormatting>
        <x14:conditionalFormatting xmlns:xm="http://schemas.microsoft.com/office/excel/2006/main">
          <x14:cfRule type="expression" priority="77" id="{1C92591B-4A67-4672-9BCE-D16A142B22FE}">
            <xm:f>$J$47=Formeln!$A$1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J47:K47</xm:sqref>
        </x14:conditionalFormatting>
        <x14:conditionalFormatting xmlns:xm="http://schemas.microsoft.com/office/excel/2006/main">
          <x14:cfRule type="expression" priority="75" id="{48D5839B-0784-47B5-85B3-AB7CF1A48F7E}">
            <xm:f>$J$64=Formeln!$A$1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J64:K64</xm:sqref>
        </x14:conditionalFormatting>
        <x14:conditionalFormatting xmlns:xm="http://schemas.microsoft.com/office/excel/2006/main">
          <x14:cfRule type="expression" priority="74" id="{4B826D39-51C2-40E8-8703-CD7983B360EC}">
            <xm:f>$J$66=Formeln!$A$1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J66:K66</xm:sqref>
        </x14:conditionalFormatting>
        <x14:conditionalFormatting xmlns:xm="http://schemas.microsoft.com/office/excel/2006/main">
          <x14:cfRule type="expression" priority="73" id="{D9B77599-2A0D-434D-A62B-95AE6D30D9DF}">
            <xm:f>$J$67=Formeln!$A$1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J67:K67</xm:sqref>
        </x14:conditionalFormatting>
        <x14:conditionalFormatting xmlns:xm="http://schemas.microsoft.com/office/excel/2006/main">
          <x14:cfRule type="expression" priority="72" id="{EA9F1C99-4D3D-4CDE-B566-7A9A25819B16}">
            <xm:f>$J$79=Formeln!$A$1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J79:K79</xm:sqref>
        </x14:conditionalFormatting>
        <x14:conditionalFormatting xmlns:xm="http://schemas.microsoft.com/office/excel/2006/main">
          <x14:cfRule type="expression" priority="71" id="{3AB3A3D6-F198-40F5-BF18-CD300C8E03D7}">
            <xm:f>$J$86=Formeln!$A$1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J86:K86</xm:sqref>
        </x14:conditionalFormatting>
        <x14:conditionalFormatting xmlns:xm="http://schemas.microsoft.com/office/excel/2006/main">
          <x14:cfRule type="expression" priority="70" id="{9AC5491F-DA5D-4E6A-989F-EFA621E17423}">
            <xm:f>$J$88=Formeln!$A$1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J88:K88</xm:sqref>
        </x14:conditionalFormatting>
        <x14:conditionalFormatting xmlns:xm="http://schemas.microsoft.com/office/excel/2006/main">
          <x14:cfRule type="expression" priority="69" id="{D1C164EB-EFAA-4DB4-9237-B9F67F949E90}">
            <xm:f>$I$100=Formeln!$A$1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I100:K100</xm:sqref>
        </x14:conditionalFormatting>
        <x14:conditionalFormatting xmlns:xm="http://schemas.microsoft.com/office/excel/2006/main">
          <x14:cfRule type="expression" priority="710" id="{5AC0346B-BA51-4A1A-8797-057F0CDF8368}">
            <xm:f>$J$55=Formeln!$A$181</xm:f>
            <x14:dxf>
              <font>
                <color theme="0" tint="-0.24994659260841701"/>
              </font>
            </x14:dxf>
          </x14:cfRule>
          <xm:sqref>E55:M55 B55:C55</xm:sqref>
        </x14:conditionalFormatting>
        <x14:conditionalFormatting xmlns:xm="http://schemas.microsoft.com/office/excel/2006/main">
          <x14:cfRule type="expression" priority="712" id="{EFC93C55-DC66-44BF-AA07-77350EE00ACD}">
            <xm:f>$J$78=Formeln!$A$181</xm:f>
            <x14:dxf>
              <font>
                <color theme="0" tint="-0.24994659260841701"/>
              </font>
            </x14:dxf>
          </x14:cfRule>
          <xm:sqref>E78:M78 B78:C78</xm:sqref>
        </x14:conditionalFormatting>
        <x14:conditionalFormatting xmlns:xm="http://schemas.microsoft.com/office/excel/2006/main">
          <x14:cfRule type="expression" priority="714" id="{03F39643-9036-45BB-AE03-23293D7EE009}">
            <xm:f>$J$42=Formeln!$A$181</xm:f>
            <x14:dxf>
              <font>
                <color theme="0" tint="-0.24994659260841701"/>
              </font>
            </x14:dxf>
          </x14:cfRule>
          <xm:sqref>E42:M42 B42:C42</xm:sqref>
        </x14:conditionalFormatting>
        <x14:conditionalFormatting xmlns:xm="http://schemas.microsoft.com/office/excel/2006/main">
          <x14:cfRule type="expression" priority="716" id="{E5EDA39F-D2B7-4C2B-8873-1AF0CDC349AA}">
            <xm:f>$J$43=Formeln!$A$181</xm:f>
            <x14:dxf>
              <font>
                <color theme="0" tint="-0.24994659260841701"/>
              </font>
            </x14:dxf>
          </x14:cfRule>
          <xm:sqref>E43:M43 B43:C43</xm:sqref>
        </x14:conditionalFormatting>
        <x14:conditionalFormatting xmlns:xm="http://schemas.microsoft.com/office/excel/2006/main">
          <x14:cfRule type="expression" priority="718" id="{BA88BBAD-FA86-46A4-B660-9D87CE842B11}">
            <xm:f>$J$49=Formeln!$A$181</xm:f>
            <x14:dxf>
              <font>
                <color theme="0" tint="-0.24994659260841701"/>
              </font>
            </x14:dxf>
          </x14:cfRule>
          <xm:sqref>E49:M49 B49:C49</xm:sqref>
        </x14:conditionalFormatting>
        <x14:conditionalFormatting xmlns:xm="http://schemas.microsoft.com/office/excel/2006/main">
          <x14:cfRule type="expression" priority="720" id="{0C2B2AB0-D01A-46A5-8727-D1127DEB36B1}">
            <xm:f>$J$50=Formeln!$A$181</xm:f>
            <x14:dxf>
              <font>
                <color theme="0" tint="-0.24994659260841701"/>
              </font>
            </x14:dxf>
          </x14:cfRule>
          <xm:sqref>E50:M50 B50:C50</xm:sqref>
        </x14:conditionalFormatting>
        <x14:conditionalFormatting xmlns:xm="http://schemas.microsoft.com/office/excel/2006/main">
          <x14:cfRule type="expression" priority="722" id="{935C8848-54DD-4101-93C6-23A62B07D3FE}">
            <xm:f>$J$53=Formeln!$A$181</xm:f>
            <x14:dxf>
              <font>
                <color theme="0" tint="-0.24994659260841701"/>
              </font>
            </x14:dxf>
          </x14:cfRule>
          <xm:sqref>E53:M54 B53:C54</xm:sqref>
        </x14:conditionalFormatting>
        <x14:conditionalFormatting xmlns:xm="http://schemas.microsoft.com/office/excel/2006/main">
          <x14:cfRule type="expression" priority="726" id="{8383AD7E-0827-4244-A14B-E02269D50CD1}">
            <xm:f>$J$60=Formeln!$A$181</xm:f>
            <x14:dxf>
              <font>
                <color theme="0" tint="-0.24994659260841701"/>
              </font>
            </x14:dxf>
          </x14:cfRule>
          <xm:sqref>E60:M60 B60:C60</xm:sqref>
        </x14:conditionalFormatting>
        <x14:conditionalFormatting xmlns:xm="http://schemas.microsoft.com/office/excel/2006/main">
          <x14:cfRule type="expression" priority="728" id="{818CB078-351D-4299-B5AD-91367EE77133}">
            <xm:f>$J$75=Formeln!$A$181</xm:f>
            <x14:dxf>
              <font>
                <color theme="0" tint="-0.24994659260841701"/>
              </font>
            </x14:dxf>
          </x14:cfRule>
          <xm:sqref>E75:M75 B75:C75</xm:sqref>
        </x14:conditionalFormatting>
        <x14:conditionalFormatting xmlns:xm="http://schemas.microsoft.com/office/excel/2006/main">
          <x14:cfRule type="expression" priority="730" id="{F9941BC9-CC92-44CE-A9AA-553D78F8BFE2}">
            <xm:f>$J$76=Formeln!$A$181</xm:f>
            <x14:dxf>
              <font>
                <color theme="0" tint="-0.24994659260841701"/>
              </font>
            </x14:dxf>
          </x14:cfRule>
          <xm:sqref>E76:M76 B76:C76</xm:sqref>
        </x14:conditionalFormatting>
        <x14:conditionalFormatting xmlns:xm="http://schemas.microsoft.com/office/excel/2006/main">
          <x14:cfRule type="expression" priority="732" id="{BAB4276A-3196-4D18-B01D-92E1BA2CB779}">
            <xm:f>$J$71=Formeln!$A$181</xm:f>
            <x14:dxf>
              <font>
                <color theme="0" tint="-0.24994659260841701"/>
              </font>
            </x14:dxf>
          </x14:cfRule>
          <xm:sqref>E71:M71 B71:C71</xm:sqref>
        </x14:conditionalFormatting>
        <x14:conditionalFormatting xmlns:xm="http://schemas.microsoft.com/office/excel/2006/main">
          <x14:cfRule type="expression" priority="734" id="{E9D5D4E4-F80B-47D1-9C44-FA6A1478E124}">
            <xm:f>$J$72=Formeln!$A$181</xm:f>
            <x14:dxf>
              <font>
                <color theme="0" tint="-0.24994659260841701"/>
              </font>
            </x14:dxf>
          </x14:cfRule>
          <xm:sqref>E72:M72 B72:C72</xm:sqref>
        </x14:conditionalFormatting>
        <x14:conditionalFormatting xmlns:xm="http://schemas.microsoft.com/office/excel/2006/main">
          <x14:cfRule type="expression" priority="736" id="{BEBECB57-AF05-45CF-9A02-B757590CB701}">
            <xm:f>$J$73=Formeln!$A$181</xm:f>
            <x14:dxf>
              <font>
                <color theme="0" tint="-0.24994659260841701"/>
              </font>
            </x14:dxf>
          </x14:cfRule>
          <xm:sqref>E73:M73 B73:C73</xm:sqref>
        </x14:conditionalFormatting>
        <x14:conditionalFormatting xmlns:xm="http://schemas.microsoft.com/office/excel/2006/main">
          <x14:cfRule type="expression" priority="738" id="{052AFF5C-9117-4FC3-8603-AE5FDB313ED5}">
            <xm:f>$J$61=Formeln!$A$181</xm:f>
            <x14:dxf>
              <font>
                <color theme="0" tint="-0.24994659260841701"/>
              </font>
            </x14:dxf>
          </x14:cfRule>
          <xm:sqref>E61:M61 B61:C61</xm:sqref>
        </x14:conditionalFormatting>
        <x14:conditionalFormatting xmlns:xm="http://schemas.microsoft.com/office/excel/2006/main">
          <x14:cfRule type="expression" priority="740" id="{E014EFED-6E1A-4C35-8514-6DD9BCD639F9}">
            <xm:f>$J$62=Formeln!$A$181</xm:f>
            <x14:dxf>
              <font>
                <color theme="0" tint="-0.24994659260841701"/>
              </font>
            </x14:dxf>
          </x14:cfRule>
          <xm:sqref>E62:M62 B62:C62</xm:sqref>
        </x14:conditionalFormatting>
        <x14:conditionalFormatting xmlns:xm="http://schemas.microsoft.com/office/excel/2006/main">
          <x14:cfRule type="expression" priority="742" id="{14C4B876-8082-4E06-BCA6-CCF713D89CAD}">
            <xm:f>$J$74=Formeln!$A$181</xm:f>
            <x14:dxf>
              <font>
                <color theme="0" tint="-0.24994659260841701"/>
              </font>
            </x14:dxf>
          </x14:cfRule>
          <xm:sqref>E74:M74 B74:C74</xm:sqref>
        </x14:conditionalFormatting>
        <x14:conditionalFormatting xmlns:xm="http://schemas.microsoft.com/office/excel/2006/main">
          <x14:cfRule type="expression" priority="744" id="{8EFAA705-8F31-429C-B4AA-433D91D0EFB5}">
            <xm:f>$J$80=Formeln!$A$181</xm:f>
            <x14:dxf>
              <font>
                <color theme="0" tint="-0.24994659260841701"/>
              </font>
            </x14:dxf>
          </x14:cfRule>
          <xm:sqref>E80:M80 B80:C80</xm:sqref>
        </x14:conditionalFormatting>
        <x14:conditionalFormatting xmlns:xm="http://schemas.microsoft.com/office/excel/2006/main">
          <x14:cfRule type="expression" priority="746" id="{A8BFBB7F-7953-468B-8321-3787F0D6930C}">
            <xm:f>$J$81=Formeln!$A$181</xm:f>
            <x14:dxf>
              <font>
                <color theme="0" tint="-0.24994659260841701"/>
              </font>
            </x14:dxf>
          </x14:cfRule>
          <xm:sqref>E81:M81 B81:C81</xm:sqref>
        </x14:conditionalFormatting>
        <x14:conditionalFormatting xmlns:xm="http://schemas.microsoft.com/office/excel/2006/main">
          <x14:cfRule type="expression" priority="748" id="{2304CF0E-80D4-4479-A058-464464D80756}">
            <xm:f>$J$82=Formeln!$A$181</xm:f>
            <x14:dxf>
              <font>
                <color theme="0" tint="-0.24994659260841701"/>
              </font>
            </x14:dxf>
          </x14:cfRule>
          <xm:sqref>E82:M82 B82:C82</xm:sqref>
        </x14:conditionalFormatting>
        <x14:conditionalFormatting xmlns:xm="http://schemas.microsoft.com/office/excel/2006/main">
          <x14:cfRule type="expression" priority="750" id="{F7A26D26-F2CA-4B18-9AC1-A4012AD3C384}">
            <xm:f>$J$83=Formeln!$A$181</xm:f>
            <x14:dxf>
              <font>
                <color theme="0" tint="-0.24994659260841701"/>
              </font>
            </x14:dxf>
          </x14:cfRule>
          <xm:sqref>E83:M83 B83:C83</xm:sqref>
        </x14:conditionalFormatting>
        <x14:conditionalFormatting xmlns:xm="http://schemas.microsoft.com/office/excel/2006/main">
          <x14:cfRule type="expression" priority="752" id="{652F0830-5B51-4175-8747-D729BEDC0016}">
            <xm:f>$J$84=Formeln!$A$181</xm:f>
            <x14:dxf>
              <font>
                <color theme="0" tint="-0.24994659260841701"/>
              </font>
            </x14:dxf>
          </x14:cfRule>
          <xm:sqref>E84:M84 B84:C84</xm:sqref>
        </x14:conditionalFormatting>
        <x14:conditionalFormatting xmlns:xm="http://schemas.microsoft.com/office/excel/2006/main">
          <x14:cfRule type="expression" priority="754" id="{7A5EB66E-C61B-40DF-A9A1-A3DC489104F2}">
            <xm:f>$J$85=Formeln!$A$181</xm:f>
            <x14:dxf>
              <font>
                <color theme="0" tint="-0.24994659260841701"/>
              </font>
            </x14:dxf>
          </x14:cfRule>
          <xm:sqref>E85:M85 B85:C85</xm:sqref>
        </x14:conditionalFormatting>
        <x14:conditionalFormatting xmlns:xm="http://schemas.microsoft.com/office/excel/2006/main">
          <x14:cfRule type="expression" priority="756" id="{16F9D0B8-3302-40F4-8668-4021AE52680A}">
            <xm:f>$J$90=Formeln!$A$181</xm:f>
            <x14:dxf>
              <font>
                <color theme="0" tint="-0.24994659260841701"/>
              </font>
            </x14:dxf>
          </x14:cfRule>
          <xm:sqref>E90:M90 B90:C90</xm:sqref>
        </x14:conditionalFormatting>
        <x14:conditionalFormatting xmlns:xm="http://schemas.microsoft.com/office/excel/2006/main">
          <x14:cfRule type="expression" priority="758" id="{3D2921DE-AAB5-4F1D-BE64-95ACC992B782}">
            <xm:f>$J$91=Formeln!$A$181</xm:f>
            <x14:dxf>
              <font>
                <color theme="0" tint="-0.24994659260841701"/>
              </font>
            </x14:dxf>
          </x14:cfRule>
          <xm:sqref>E91:M91 B91:C91</xm:sqref>
        </x14:conditionalFormatting>
        <x14:conditionalFormatting xmlns:xm="http://schemas.microsoft.com/office/excel/2006/main">
          <x14:cfRule type="expression" priority="760" id="{2EDEE118-8C75-467C-8855-EA563BDE3D96}">
            <xm:f>$J$92=Formeln!$A$181</xm:f>
            <x14:dxf>
              <font>
                <color theme="0" tint="-0.24994659260841701"/>
              </font>
            </x14:dxf>
          </x14:cfRule>
          <xm:sqref>E92:M92 B92:C92</xm:sqref>
        </x14:conditionalFormatting>
        <x14:conditionalFormatting xmlns:xm="http://schemas.microsoft.com/office/excel/2006/main">
          <x14:cfRule type="expression" priority="762" id="{5D3E5343-54AC-43CB-AE9C-A235D9F2E8B8}">
            <xm:f>$J$93=Formeln!$A$181</xm:f>
            <x14:dxf>
              <font>
                <color theme="0" tint="-0.24994659260841701"/>
              </font>
            </x14:dxf>
          </x14:cfRule>
          <xm:sqref>E93:M93 B93:C93</xm:sqref>
        </x14:conditionalFormatting>
        <x14:conditionalFormatting xmlns:xm="http://schemas.microsoft.com/office/excel/2006/main">
          <x14:cfRule type="expression" priority="764" id="{5EBB2D59-B50D-49A7-98F5-3178759BB6E4}">
            <xm:f>$J$51=Formeln!$A$181</xm:f>
            <x14:dxf>
              <font>
                <color theme="0" tint="-0.24994659260841701"/>
              </font>
            </x14:dxf>
          </x14:cfRule>
          <xm:sqref>E51:M52 B51:C52</xm:sqref>
        </x14:conditionalFormatting>
        <x14:conditionalFormatting xmlns:xm="http://schemas.microsoft.com/office/excel/2006/main">
          <x14:cfRule type="expression" priority="33" id="{D4FAE7D4-533D-47D7-8D8A-5C45D4217BB9}">
            <xm:f>$J$55=Formeln!$A$181</xm:f>
            <x14:dxf>
              <font>
                <color theme="0" tint="-0.24994659260841701"/>
              </font>
            </x14:dxf>
          </x14:cfRule>
          <xm:sqref>D55</xm:sqref>
        </x14:conditionalFormatting>
        <x14:conditionalFormatting xmlns:xm="http://schemas.microsoft.com/office/excel/2006/main">
          <x14:cfRule type="expression" priority="34" id="{0A8BEAD1-6D99-42D4-B427-F77CB5CCA843}">
            <xm:f>$J$78=Formeln!$A$181</xm:f>
            <x14:dxf>
              <font>
                <color theme="0" tint="-0.24994659260841701"/>
              </font>
            </x14:dxf>
          </x14:cfRule>
          <xm:sqref>D78</xm:sqref>
        </x14:conditionalFormatting>
        <x14:conditionalFormatting xmlns:xm="http://schemas.microsoft.com/office/excel/2006/main">
          <x14:cfRule type="expression" priority="35" id="{BF3C9602-6588-4587-81C5-4B4F46F65ECD}">
            <xm:f>$J$42=Formeln!$A$181</xm:f>
            <x14:dxf>
              <font>
                <color theme="0" tint="-0.24994659260841701"/>
              </font>
            </x14:dxf>
          </x14:cfRule>
          <xm:sqref>D42</xm:sqref>
        </x14:conditionalFormatting>
        <x14:conditionalFormatting xmlns:xm="http://schemas.microsoft.com/office/excel/2006/main">
          <x14:cfRule type="expression" priority="36" id="{F8B7E7C0-F79F-41DC-8805-EE40933BF342}">
            <xm:f>$J$43=Formeln!$A$181</xm:f>
            <x14:dxf>
              <font>
                <color theme="0" tint="-0.24994659260841701"/>
              </font>
            </x14:dxf>
          </x14:cfRule>
          <xm:sqref>D43</xm:sqref>
        </x14:conditionalFormatting>
        <x14:conditionalFormatting xmlns:xm="http://schemas.microsoft.com/office/excel/2006/main">
          <x14:cfRule type="expression" priority="37" id="{A9EEB36F-D494-4339-9601-B55A8F62E95C}">
            <xm:f>$J$49=Formeln!$A$181</xm:f>
            <x14:dxf>
              <font>
                <color theme="0" tint="-0.24994659260841701"/>
              </font>
            </x14:dxf>
          </x14:cfRule>
          <xm:sqref>D49</xm:sqref>
        </x14:conditionalFormatting>
        <x14:conditionalFormatting xmlns:xm="http://schemas.microsoft.com/office/excel/2006/main">
          <x14:cfRule type="expression" priority="38" id="{83CC5AC9-0D11-49C1-B44C-AC2A71580BC9}">
            <xm:f>$J$50=Formeln!$A$181</xm:f>
            <x14:dxf>
              <font>
                <color theme="0" tint="-0.24994659260841701"/>
              </font>
            </x14:dxf>
          </x14:cfRule>
          <xm:sqref>D50</xm:sqref>
        </x14:conditionalFormatting>
        <x14:conditionalFormatting xmlns:xm="http://schemas.microsoft.com/office/excel/2006/main">
          <x14:cfRule type="expression" priority="39" id="{FF37805D-827C-4A69-AA3F-82FC22FDF319}">
            <xm:f>$J$53=Formeln!$A$181</xm:f>
            <x14:dxf>
              <font>
                <color theme="0" tint="-0.24994659260841701"/>
              </font>
            </x14:dxf>
          </x14:cfRule>
          <xm:sqref>D53:D54</xm:sqref>
        </x14:conditionalFormatting>
        <x14:conditionalFormatting xmlns:xm="http://schemas.microsoft.com/office/excel/2006/main">
          <x14:cfRule type="expression" priority="40" id="{932A8605-720D-477C-BED5-F1BE8E765D07}">
            <xm:f>$J$60=Formeln!$A$181</xm:f>
            <x14:dxf>
              <font>
                <color theme="0" tint="-0.24994659260841701"/>
              </font>
            </x14:dxf>
          </x14:cfRule>
          <xm:sqref>D60</xm:sqref>
        </x14:conditionalFormatting>
        <x14:conditionalFormatting xmlns:xm="http://schemas.microsoft.com/office/excel/2006/main">
          <x14:cfRule type="expression" priority="46" id="{98143D19-CFBF-456B-A808-B37170BA6745}">
            <xm:f>$J$61=Formeln!$A$181</xm:f>
            <x14:dxf>
              <font>
                <color theme="0" tint="-0.24994659260841701"/>
              </font>
            </x14:dxf>
          </x14:cfRule>
          <xm:sqref>D61</xm:sqref>
        </x14:conditionalFormatting>
        <x14:conditionalFormatting xmlns:xm="http://schemas.microsoft.com/office/excel/2006/main">
          <x14:cfRule type="expression" priority="47" id="{A794AD8D-AE99-4A32-8BA4-6B42D6A1669D}">
            <xm:f>$J$62=Formeln!$A$181</xm:f>
            <x14:dxf>
              <font>
                <color theme="0" tint="-0.24994659260841701"/>
              </font>
            </x14:dxf>
          </x14:cfRule>
          <xm:sqref>D62</xm:sqref>
        </x14:conditionalFormatting>
        <x14:conditionalFormatting xmlns:xm="http://schemas.microsoft.com/office/excel/2006/main">
          <x14:cfRule type="expression" priority="48" id="{5F9FC548-7B55-48F2-8D97-32071AB0F2BB}">
            <xm:f>$J$74=Formeln!$A$181</xm:f>
            <x14:dxf>
              <font>
                <color theme="0" tint="-0.24994659260841701"/>
              </font>
            </x14:dxf>
          </x14:cfRule>
          <xm:sqref>D74</xm:sqref>
        </x14:conditionalFormatting>
        <x14:conditionalFormatting xmlns:xm="http://schemas.microsoft.com/office/excel/2006/main">
          <x14:cfRule type="expression" priority="52" id="{E0DB945C-A172-4E05-BD12-EE8BD95B963E}">
            <xm:f>$J$83=Formeln!$A$181</xm:f>
            <x14:dxf>
              <font>
                <color theme="0" tint="-0.24994659260841701"/>
              </font>
            </x14:dxf>
          </x14:cfRule>
          <xm:sqref>D83</xm:sqref>
        </x14:conditionalFormatting>
        <x14:conditionalFormatting xmlns:xm="http://schemas.microsoft.com/office/excel/2006/main">
          <x14:cfRule type="expression" priority="55" id="{D686D357-0595-4822-B884-F5183357D457}">
            <xm:f>$J$90=Formeln!$A$181</xm:f>
            <x14:dxf>
              <font>
                <color theme="0" tint="-0.24994659260841701"/>
              </font>
            </x14:dxf>
          </x14:cfRule>
          <xm:sqref>D90</xm:sqref>
        </x14:conditionalFormatting>
        <x14:conditionalFormatting xmlns:xm="http://schemas.microsoft.com/office/excel/2006/main">
          <x14:cfRule type="expression" priority="59" id="{95567592-DFB8-42B8-82E6-ACAFFC3A8A2E}">
            <xm:f>$J$51=Formeln!$A$181</xm:f>
            <x14:dxf>
              <font>
                <color theme="0" tint="-0.24994659260841701"/>
              </font>
            </x14:dxf>
          </x14:cfRule>
          <xm:sqref>D51:D52</xm:sqref>
        </x14:conditionalFormatting>
        <x14:conditionalFormatting xmlns:xm="http://schemas.microsoft.com/office/excel/2006/main">
          <x14:cfRule type="expression" priority="22" id="{C3E91DF7-91C5-46E9-8036-305D216A6EDA}">
            <xm:f>$J$60=Formeln!$A$181</xm:f>
            <x14:dxf>
              <font>
                <color theme="0" tint="-0.24994659260841701"/>
              </font>
            </x14:dxf>
          </x14:cfRule>
          <xm:sqref>D63</xm:sqref>
        </x14:conditionalFormatting>
        <x14:conditionalFormatting xmlns:xm="http://schemas.microsoft.com/office/excel/2006/main">
          <x14:cfRule type="expression" priority="18" id="{6A6ABF45-F1A8-45DB-8687-BA85D4F3EEA6}">
            <xm:f>$J$85=Formeln!$A$181</xm:f>
            <x14:dxf>
              <font>
                <color theme="0" tint="-0.24994659260841701"/>
              </font>
            </x14:dxf>
          </x14:cfRule>
          <xm:sqref>M86</xm:sqref>
        </x14:conditionalFormatting>
        <x14:conditionalFormatting xmlns:xm="http://schemas.microsoft.com/office/excel/2006/main">
          <x14:cfRule type="expression" priority="15" id="{C6FDC8A1-AF71-4842-8BA8-AD9EF6A59B38}">
            <xm:f>$J$60=Formeln!$A$181</xm:f>
            <x14:dxf>
              <font>
                <color theme="0" tint="-0.24994659260841701"/>
              </font>
            </x14:dxf>
          </x14:cfRule>
          <xm:sqref>D82</xm:sqref>
        </x14:conditionalFormatting>
        <x14:conditionalFormatting xmlns:xm="http://schemas.microsoft.com/office/excel/2006/main">
          <x14:cfRule type="expression" priority="14" id="{0CC1ECBD-760A-4133-B128-95CCC4C88D61}">
            <xm:f>$J$60=Formeln!$A$181</xm:f>
            <x14:dxf>
              <font>
                <color theme="0" tint="-0.24994659260841701"/>
              </font>
            </x14:dxf>
          </x14:cfRule>
          <xm:sqref>D84</xm:sqref>
        </x14:conditionalFormatting>
        <x14:conditionalFormatting xmlns:xm="http://schemas.microsoft.com/office/excel/2006/main">
          <x14:cfRule type="expression" priority="12" id="{DF32E2C8-899A-42F7-B167-9967BDC37B0A}">
            <xm:f>$J$74=Formeln!$A$181</xm:f>
            <x14:dxf>
              <font>
                <color theme="0" tint="-0.24994659260841701"/>
              </font>
            </x14:dxf>
          </x14:cfRule>
          <xm:sqref>D85</xm:sqref>
        </x14:conditionalFormatting>
        <x14:conditionalFormatting xmlns:xm="http://schemas.microsoft.com/office/excel/2006/main">
          <x14:cfRule type="expression" priority="8" id="{1AB1E28F-1C10-414D-9483-20B5A6655B4B}">
            <xm:f>$J$90=Formeln!$A$181</xm:f>
            <x14:dxf>
              <font>
                <color theme="0" tint="-0.24994659260841701"/>
              </font>
            </x14:dxf>
          </x14:cfRule>
          <xm:sqref>D93</xm:sqref>
        </x14:conditionalFormatting>
        <x14:conditionalFormatting xmlns:xm="http://schemas.microsoft.com/office/excel/2006/main">
          <x14:cfRule type="expression" priority="10" id="{36E13C52-E568-457F-BD8A-30126FE016E2}">
            <xm:f>$J$90=Formeln!$A$181</xm:f>
            <x14:dxf>
              <font>
                <color theme="0" tint="-0.24994659260841701"/>
              </font>
            </x14:dxf>
          </x14:cfRule>
          <xm:sqref>D92</xm:sqref>
        </x14:conditionalFormatting>
        <x14:conditionalFormatting xmlns:xm="http://schemas.microsoft.com/office/excel/2006/main">
          <x14:cfRule type="expression" priority="9" id="{EB7242A0-4524-4C91-A76A-C6BF57DABAD2}">
            <xm:f>$J$90=Formeln!$A$181</xm:f>
            <x14:dxf>
              <font>
                <color theme="0" tint="-0.24994659260841701"/>
              </font>
            </x14:dxf>
          </x14:cfRule>
          <xm:sqref>D91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Formeln!$A$156:$A$159</xm:f>
          </x14:formula1>
          <xm:sqref>J64:K64</xm:sqref>
        </x14:dataValidation>
        <x14:dataValidation type="list" allowBlank="1" showInputMessage="1" showErrorMessage="1">
          <x14:formula1>
            <xm:f>Formeln!$A$160:$A$162</xm:f>
          </x14:formula1>
          <xm:sqref>J66:K66</xm:sqref>
        </x14:dataValidation>
        <x14:dataValidation type="list" allowBlank="1" showInputMessage="1" showErrorMessage="1">
          <x14:formula1>
            <xm:f>Formeln!$A$163:$A$165</xm:f>
          </x14:formula1>
          <xm:sqref>J67:K67</xm:sqref>
        </x14:dataValidation>
        <x14:dataValidation type="list" allowBlank="1" showInputMessage="1" showErrorMessage="1">
          <x14:formula1>
            <xm:f>Formeln!$A$115:$A$120</xm:f>
          </x14:formula1>
          <xm:sqref>I100:K100</xm:sqref>
        </x14:dataValidation>
        <x14:dataValidation type="list" allowBlank="1" showInputMessage="1" showErrorMessage="1">
          <x14:formula1>
            <xm:f>Formeln!$E$166:$E$168</xm:f>
          </x14:formula1>
          <xm:sqref>J32:K32</xm:sqref>
        </x14:dataValidation>
        <x14:dataValidation type="list" allowBlank="1" showInputMessage="1" showErrorMessage="1">
          <x14:formula1>
            <xm:f>Formeln!$E$182:$E$184</xm:f>
          </x14:formula1>
          <xm:sqref>J35:K35</xm:sqref>
        </x14:dataValidation>
        <x14:dataValidation type="list" allowBlank="1" showInputMessage="1" showErrorMessage="1">
          <x14:formula1>
            <xm:f>Formeln!$E$209:$E$211</xm:f>
          </x14:formula1>
          <xm:sqref>J47:K47</xm:sqref>
        </x14:dataValidation>
        <x14:dataValidation type="list" allowBlank="1" showInputMessage="1" showErrorMessage="1">
          <x14:formula1>
            <xm:f>Formeln!$E$171:$E$174</xm:f>
          </x14:formula1>
          <xm:sqref>J33:K33</xm:sqref>
        </x14:dataValidation>
        <x14:dataValidation type="list" allowBlank="1" showInputMessage="1" showErrorMessage="1">
          <x14:formula1>
            <xm:f>Formeln!$E$182:$E$183</xm:f>
          </x14:formula1>
          <xm:sqref>J36:K36</xm:sqref>
        </x14:dataValidation>
        <x14:dataValidation type="list" allowBlank="1" showInputMessage="1" showErrorMessage="1">
          <x14:formula1>
            <xm:f>Formeln!$A$246:$A$249</xm:f>
          </x14:formula1>
          <xm:sqref>J77:K77</xm:sqref>
        </x14:dataValidation>
        <x14:dataValidation type="list" allowBlank="1" showInputMessage="1" showErrorMessage="1">
          <x14:formula1>
            <xm:f>Formeln!$A$261:$A$263</xm:f>
          </x14:formula1>
          <xm:sqref>J79:K79</xm:sqref>
        </x14:dataValidation>
        <x14:dataValidation type="list" allowBlank="1" showInputMessage="1" showErrorMessage="1">
          <x14:formula1>
            <xm:f>Formeln!$A$270:$A$272</xm:f>
          </x14:formula1>
          <xm:sqref>J86:K86</xm:sqref>
        </x14:dataValidation>
        <x14:dataValidation type="list" allowBlank="1" showInputMessage="1" showErrorMessage="1">
          <x14:formula1>
            <xm:f>Formeln!$A$275:$A$277</xm:f>
          </x14:formula1>
          <xm:sqref>J88:K88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277"/>
  <sheetViews>
    <sheetView topLeftCell="A182" workbookViewId="0">
      <selection activeCell="E211" sqref="E211"/>
    </sheetView>
  </sheetViews>
  <sheetFormatPr baseColWidth="10" defaultRowHeight="14.25"/>
  <cols>
    <col min="1" max="1" width="59.1328125" bestFit="1" customWidth="1"/>
  </cols>
  <sheetData>
    <row r="1" spans="1:6">
      <c r="A1" s="6"/>
      <c r="F1" s="6"/>
    </row>
    <row r="2" spans="1:6">
      <c r="A2" s="6" t="str">
        <f>VLOOKUP("28/25 (1 kg = ca. 570 St.)",Sprachindex!A:Z,Info!$O$6,FALSE)</f>
        <v>28/25 (1 kg = ca. 570 St.)</v>
      </c>
      <c r="F2" s="6"/>
    </row>
    <row r="3" spans="1:6">
      <c r="A3" s="6" t="str">
        <f>VLOOKUP("28/30 (1 kg = ca. 480 St.)",Sprachindex!A:Z,Info!$O$6,FALSE)</f>
        <v>28/30 (1 kg = ca. 480 St.)</v>
      </c>
      <c r="F3" s="7"/>
    </row>
    <row r="4" spans="1:6">
      <c r="A4" s="6" t="str">
        <f>VLOOKUP("28/40 (1 kg = ca. 380 St.)",Sprachindex!A:Z,Info!$O$6,FALSE)</f>
        <v>28/40 (1 kg = ca. 380 St.)</v>
      </c>
      <c r="F4" s="6"/>
    </row>
    <row r="6" spans="1:6">
      <c r="A6" s="8" t="str">
        <f>VLOOKUP("Länge 26 mm (3.200 Stk/Karton)",Sprachindex!A:Z,Info!$O$6,FALSE)</f>
        <v>Länge 26 mm (3.200 Stk/Karton)</v>
      </c>
      <c r="F6" s="8"/>
    </row>
    <row r="7" spans="1:6">
      <c r="A7" s="8" t="str">
        <f>VLOOKUP("Länge 35 mm (2.400 Stk/Karton)",Sprachindex!A:Z,Info!$O$6,FALSE)</f>
        <v>Länge 35 mm (2.400 Stk/Karton)</v>
      </c>
      <c r="F7" s="8"/>
    </row>
    <row r="8" spans="1:6">
      <c r="A8" s="6" t="str">
        <f>VLOOKUP("Länge 26 mm (3.200 Stk/Karton) NIRO",Sprachindex!A:Z,Info!$O$6,FALSE)</f>
        <v>Länge 26 mm (3.200 Stk/Karton) NIRO</v>
      </c>
      <c r="F8" s="6"/>
    </row>
    <row r="10" spans="1:6">
      <c r="A10" s="6" t="str">
        <f>VLOOKUP("1x250 (A=140 B=85 C=25 mm)",Sprachindex!A:Z,Info!$O$6,FALSE) &amp; " " &amp; VLOOKUP("01 braun",Sprachindex!A:Z,Info!$O$6,FALSE) &amp; "/" &amp; VLOOKUP("02 anthrazit",Sprachindex!A:Z,Info!$O$6,FALSE)</f>
        <v>1x250 (A=140 B=85 C=25 mm) 01 braun/02 anthrazit</v>
      </c>
      <c r="E10" s="8"/>
    </row>
    <row r="11" spans="1:6">
      <c r="A11" s="6" t="str">
        <f>VLOOKUP("1x250 (A=140 B=85 C=25 mm)",Sprachindex!A:Z,Info!$O$6,FALSE) &amp; " " &amp; VLOOKUP("07 hellgrau",Sprachindex!A:Z,Info!$O$6,FALSE) &amp; "/" &amp; VLOOKUP("07 hellgrau",Sprachindex!A:Z,Info!$O$6,FALSE)</f>
        <v>1x250 (A=140 B=85 C=25 mm) 07 hellgrau/07 hellgrau</v>
      </c>
      <c r="E11" s="8"/>
    </row>
    <row r="12" spans="1:6">
      <c r="A12" s="6" t="str">
        <f>VLOOKUP("1x333 (A=223 B=85 C=25 mm)",Sprachindex!A:Z,Info!$O$6,FALSE) &amp; " " &amp; VLOOKUP("01 braun",Sprachindex!A:Z,Info!$O$6,FALSE) &amp; "/" &amp; VLOOKUP("02 anthrazit",Sprachindex!A:Z,Info!$O$6,FALSE)</f>
        <v>1x333 (A=223 B=85 C=25 mm) 01 braun/02 anthrazit</v>
      </c>
      <c r="E12" s="8"/>
    </row>
    <row r="13" spans="1:6">
      <c r="A13" s="6" t="str">
        <f>VLOOKUP("1x333 (A=223 B=85 C=25 mm)",Sprachindex!A:Z,Info!$O$6,FALSE) &amp; " " &amp; VLOOKUP("07 hellgrau",Sprachindex!A:Z,Info!$O$6,FALSE) &amp; "/" &amp; VLOOKUP("07 hellgrau",Sprachindex!A:Z,Info!$O$6,FALSE)</f>
        <v>1x333 (A=223 B=85 C=25 mm) 07 hellgrau/07 hellgrau</v>
      </c>
      <c r="E13" s="8"/>
    </row>
    <row r="15" spans="1:6">
      <c r="A15" s="6" t="str">
        <f>VLOOKUP("(4,5 x 45 mm, 250 Stk/Pkt)",Sprachindex!A:Z,Info!$O$6,FALSE)</f>
        <v>(4,5 x 45 mm, 250 Stk/Pkt)</v>
      </c>
      <c r="E15" s="6"/>
    </row>
    <row r="16" spans="1:6">
      <c r="A16" s="6" t="str">
        <f>VLOOKUP("(4,5 x 45 mm, 250 Stk/Pkt, blank)",Sprachindex!A:Z,Info!$O$6,FALSE)</f>
        <v>(4,5 x 45 mm, 250 Stk/Pkt, blank)</v>
      </c>
      <c r="E16" s="6"/>
    </row>
    <row r="18" spans="1:5">
      <c r="A18" s="6" t="str">
        <f>VLOOKUP("(4,5 x 60 mm, 100 Stk/Pkt)",Sprachindex!A:Z,Info!$O$6,FALSE)</f>
        <v>(4,5 x 60 mm, 100 Stk/Pkt)</v>
      </c>
      <c r="E18" s="6"/>
    </row>
    <row r="19" spans="1:5">
      <c r="A19" s="6" t="str">
        <f>VLOOKUP("(4,5 x 60 mm, 100 Stk/Pkt, blank)",Sprachindex!A:Z,Info!$O$6,FALSE)</f>
        <v>(4,5 x 60 mm, 100 Stk/Pkt, blank)</v>
      </c>
      <c r="E19" s="6"/>
    </row>
    <row r="21" spans="1:5">
      <c r="A21" s="6" t="str">
        <f>VLOOKUP("glatt",Sprachindex!A:Z,Info!$O$6,FALSE)</f>
        <v>glatt</v>
      </c>
    </row>
    <row r="22" spans="1:5">
      <c r="A22" s="6" t="str">
        <f>VLOOKUP("stucco",Sprachindex!A:Z,Info!$O$6,FALSE)</f>
        <v>stucco</v>
      </c>
    </row>
    <row r="24" spans="1:5">
      <c r="A24" s="6" t="str">
        <f>VLOOKUP("0,7 x 500 mm",Sprachindex!A:Z,Info!$O$6,FALSE)</f>
        <v>0,7 x 500 mm</v>
      </c>
      <c r="D24" s="8"/>
    </row>
    <row r="25" spans="1:5">
      <c r="A25" s="6" t="str">
        <f>VLOOKUP("0,7 x 650 mm",Sprachindex!A:Z,Info!$O$6,FALSE)</f>
        <v>0,7 x 650 mm</v>
      </c>
      <c r="D25" s="8"/>
    </row>
    <row r="26" spans="1:5">
      <c r="A26" s="6" t="str">
        <f>VLOOKUP("0,7 x 1.000 mm",Sprachindex!A:Z,Info!$O$6,FALSE)</f>
        <v>0,7 x 1.000 mm</v>
      </c>
      <c r="D26" s="8"/>
    </row>
    <row r="28" spans="1:5">
      <c r="A28" s="6" t="s">
        <v>110</v>
      </c>
    </row>
    <row r="29" spans="1:5">
      <c r="A29" s="6" t="s">
        <v>111</v>
      </c>
    </row>
    <row r="30" spans="1:5">
      <c r="A30" s="9" t="s">
        <v>112</v>
      </c>
    </row>
    <row r="31" spans="1:5">
      <c r="A31" s="6" t="s">
        <v>113</v>
      </c>
    </row>
    <row r="32" spans="1:5">
      <c r="A32" s="6" t="s">
        <v>114</v>
      </c>
    </row>
    <row r="33" spans="1:1">
      <c r="A33" s="6" t="s">
        <v>115</v>
      </c>
    </row>
    <row r="34" spans="1:1">
      <c r="A34" s="9" t="s">
        <v>116</v>
      </c>
    </row>
    <row r="35" spans="1:1">
      <c r="A35" s="6" t="s">
        <v>117</v>
      </c>
    </row>
    <row r="36" spans="1:1">
      <c r="A36" s="9" t="s">
        <v>118</v>
      </c>
    </row>
    <row r="37" spans="1:1">
      <c r="A37" s="6" t="s">
        <v>119</v>
      </c>
    </row>
    <row r="38" spans="1:1">
      <c r="A38" s="6" t="s">
        <v>120</v>
      </c>
    </row>
    <row r="39" spans="1:1">
      <c r="A39" s="6" t="s">
        <v>121</v>
      </c>
    </row>
    <row r="40" spans="1:1">
      <c r="A40" s="9" t="s">
        <v>122</v>
      </c>
    </row>
    <row r="41" spans="1:1">
      <c r="A41" s="6" t="s">
        <v>123</v>
      </c>
    </row>
    <row r="42" spans="1:1">
      <c r="A42" s="6" t="s">
        <v>124</v>
      </c>
    </row>
    <row r="43" spans="1:1">
      <c r="A43" s="6" t="s">
        <v>125</v>
      </c>
    </row>
    <row r="44" spans="1:1">
      <c r="A44" s="6" t="s">
        <v>126</v>
      </c>
    </row>
    <row r="45" spans="1:1">
      <c r="A45" s="9" t="s">
        <v>127</v>
      </c>
    </row>
    <row r="46" spans="1:1">
      <c r="A46" s="6" t="s">
        <v>128</v>
      </c>
    </row>
    <row r="47" spans="1:1">
      <c r="A47" s="6" t="s">
        <v>129</v>
      </c>
    </row>
    <row r="48" spans="1:1">
      <c r="A48" s="6" t="s">
        <v>130</v>
      </c>
    </row>
    <row r="50" spans="1:4">
      <c r="A50" s="6" t="str">
        <f>VLOOKUP("MIT Wärmedämmung",Sprachindex!A:Z,Info!$O$6,FALSE)</f>
        <v>MIT Wärmedämmung</v>
      </c>
      <c r="D50" s="6"/>
    </row>
    <row r="51" spans="1:4">
      <c r="A51" s="8" t="s">
        <v>132</v>
      </c>
    </row>
    <row r="52" spans="1:4">
      <c r="A52" s="8" t="s">
        <v>133</v>
      </c>
    </row>
    <row r="53" spans="1:4">
      <c r="A53" s="10" t="s">
        <v>134</v>
      </c>
    </row>
    <row r="54" spans="1:4">
      <c r="A54" s="6" t="s">
        <v>135</v>
      </c>
    </row>
    <row r="55" spans="1:4">
      <c r="A55" s="6" t="s">
        <v>136</v>
      </c>
    </row>
    <row r="56" spans="1:4">
      <c r="A56" s="6" t="s">
        <v>137</v>
      </c>
    </row>
    <row r="57" spans="1:4">
      <c r="A57" s="6" t="s">
        <v>138</v>
      </c>
    </row>
    <row r="58" spans="1:4">
      <c r="A58" s="6" t="s">
        <v>139</v>
      </c>
    </row>
    <row r="59" spans="1:4">
      <c r="A59" s="9" t="s">
        <v>140</v>
      </c>
    </row>
    <row r="60" spans="1:4">
      <c r="A60" s="6" t="s">
        <v>141</v>
      </c>
    </row>
    <row r="61" spans="1:4">
      <c r="A61" s="9" t="s">
        <v>142</v>
      </c>
    </row>
    <row r="62" spans="1:4">
      <c r="A62" s="6" t="s">
        <v>143</v>
      </c>
    </row>
    <row r="63" spans="1:4">
      <c r="A63" s="6" t="s">
        <v>144</v>
      </c>
    </row>
    <row r="64" spans="1:4">
      <c r="A64" s="9" t="s">
        <v>145</v>
      </c>
    </row>
    <row r="65" spans="1:1">
      <c r="A65" s="6" t="s">
        <v>146</v>
      </c>
    </row>
    <row r="66" spans="1:1">
      <c r="A66" s="6" t="s">
        <v>147</v>
      </c>
    </row>
    <row r="67" spans="1:1">
      <c r="A67" s="6" t="s">
        <v>148</v>
      </c>
    </row>
    <row r="68" spans="1:1">
      <c r="A68" s="6" t="s">
        <v>149</v>
      </c>
    </row>
    <row r="69" spans="1:1">
      <c r="A69" s="6" t="s">
        <v>150</v>
      </c>
    </row>
    <row r="70" spans="1:1">
      <c r="A70" s="6" t="s">
        <v>151</v>
      </c>
    </row>
    <row r="71" spans="1:1">
      <c r="A71" s="9" t="s">
        <v>152</v>
      </c>
    </row>
    <row r="72" spans="1:1">
      <c r="A72" s="6" t="s">
        <v>153</v>
      </c>
    </row>
    <row r="73" spans="1:1">
      <c r="A73" s="6" t="s">
        <v>154</v>
      </c>
    </row>
    <row r="74" spans="1:1">
      <c r="A74" s="6" t="s">
        <v>155</v>
      </c>
    </row>
    <row r="75" spans="1:1">
      <c r="A75" s="8" t="s">
        <v>156</v>
      </c>
    </row>
    <row r="76" spans="1:1">
      <c r="A76" s="8" t="s">
        <v>157</v>
      </c>
    </row>
    <row r="77" spans="1:1">
      <c r="A77" s="8" t="s">
        <v>158</v>
      </c>
    </row>
    <row r="78" spans="1:1">
      <c r="A78" s="8" t="s">
        <v>159</v>
      </c>
    </row>
    <row r="79" spans="1:1">
      <c r="A79" s="8" t="s">
        <v>160</v>
      </c>
    </row>
    <row r="80" spans="1:1">
      <c r="A80" s="8" t="s">
        <v>161</v>
      </c>
    </row>
    <row r="81" spans="1:4">
      <c r="A81" s="8"/>
    </row>
    <row r="82" spans="1:4">
      <c r="A82" s="6" t="str">
        <f>VLOOKUP("OHNE Wärmedämmung",Sprachindex!A:Z,Info!$O$6,FALSE)</f>
        <v>OHNE Wärmedämmung</v>
      </c>
      <c r="D82" s="6"/>
    </row>
    <row r="83" spans="1:4">
      <c r="A83" s="8" t="s">
        <v>163</v>
      </c>
    </row>
    <row r="84" spans="1:4">
      <c r="A84" s="8" t="s">
        <v>164</v>
      </c>
    </row>
    <row r="85" spans="1:4">
      <c r="A85" s="8" t="s">
        <v>165</v>
      </c>
    </row>
    <row r="86" spans="1:4">
      <c r="A86" s="6" t="s">
        <v>166</v>
      </c>
    </row>
    <row r="87" spans="1:4">
      <c r="A87" s="6" t="s">
        <v>167</v>
      </c>
    </row>
    <row r="88" spans="1:4">
      <c r="A88" s="6" t="s">
        <v>168</v>
      </c>
    </row>
    <row r="89" spans="1:4">
      <c r="A89" s="6" t="s">
        <v>169</v>
      </c>
    </row>
    <row r="90" spans="1:4">
      <c r="A90" s="6" t="s">
        <v>170</v>
      </c>
    </row>
    <row r="91" spans="1:4">
      <c r="A91" s="6" t="s">
        <v>171</v>
      </c>
    </row>
    <row r="92" spans="1:4">
      <c r="A92" s="6" t="s">
        <v>172</v>
      </c>
    </row>
    <row r="93" spans="1:4">
      <c r="A93" s="6" t="s">
        <v>173</v>
      </c>
    </row>
    <row r="94" spans="1:4">
      <c r="A94" s="6" t="s">
        <v>174</v>
      </c>
    </row>
    <row r="95" spans="1:4">
      <c r="A95" s="6" t="s">
        <v>175</v>
      </c>
    </row>
    <row r="96" spans="1:4">
      <c r="A96" s="6" t="s">
        <v>176</v>
      </c>
    </row>
    <row r="97" spans="1:1">
      <c r="A97" s="6" t="s">
        <v>177</v>
      </c>
    </row>
    <row r="98" spans="1:1">
      <c r="A98" s="6" t="s">
        <v>178</v>
      </c>
    </row>
    <row r="99" spans="1:1">
      <c r="A99" s="6" t="s">
        <v>179</v>
      </c>
    </row>
    <row r="100" spans="1:1">
      <c r="A100" s="6" t="s">
        <v>180</v>
      </c>
    </row>
    <row r="101" spans="1:1">
      <c r="A101" s="6" t="s">
        <v>181</v>
      </c>
    </row>
    <row r="102" spans="1:1">
      <c r="A102" s="6" t="s">
        <v>182</v>
      </c>
    </row>
    <row r="103" spans="1:1">
      <c r="A103" s="6" t="s">
        <v>183</v>
      </c>
    </row>
    <row r="104" spans="1:1">
      <c r="A104" s="6" t="s">
        <v>184</v>
      </c>
    </row>
    <row r="105" spans="1:1">
      <c r="A105" s="6" t="s">
        <v>185</v>
      </c>
    </row>
    <row r="106" spans="1:1">
      <c r="A106" s="6" t="s">
        <v>186</v>
      </c>
    </row>
    <row r="107" spans="1:1">
      <c r="A107" s="8" t="s">
        <v>187</v>
      </c>
    </row>
    <row r="108" spans="1:1">
      <c r="A108" s="8" t="s">
        <v>188</v>
      </c>
    </row>
    <row r="109" spans="1:1">
      <c r="A109" s="8" t="s">
        <v>189</v>
      </c>
    </row>
    <row r="110" spans="1:1">
      <c r="A110" s="8" t="s">
        <v>190</v>
      </c>
    </row>
    <row r="111" spans="1:1">
      <c r="A111" s="8" t="s">
        <v>191</v>
      </c>
    </row>
    <row r="112" spans="1:1">
      <c r="A112" s="8" t="s">
        <v>192</v>
      </c>
    </row>
    <row r="114" spans="1:4">
      <c r="A114" s="6" t="str">
        <f>VLOOKUP("Maße:",Sprachindex!A:Z,Info!$O$6,FALSE)</f>
        <v>Maße:</v>
      </c>
      <c r="D114" s="8"/>
    </row>
    <row r="116" spans="1:4">
      <c r="A116" s="6" t="str">
        <f>VLOOKUP("moosgrün/hellgrau",Sprachindex!A:Z,Info!$O$6,FALSE)</f>
        <v>moosgrün/hellgrau</v>
      </c>
      <c r="D116" s="6"/>
    </row>
    <row r="117" spans="1:4">
      <c r="A117" s="6" t="str">
        <f>VLOOKUP("braun/anthrazit",Sprachindex!A:Z,Info!$O$6,FALSE)</f>
        <v>braun/anthrazit</v>
      </c>
      <c r="D117" s="6"/>
    </row>
    <row r="118" spans="1:4">
      <c r="A118" s="6" t="str">
        <f>VLOOKUP("ziegelrot/oxydrot",Sprachindex!A:Z,Info!$O$6,FALSE)</f>
        <v>ziegelrot/oxydrot</v>
      </c>
      <c r="D118" s="6"/>
    </row>
    <row r="119" spans="1:4">
      <c r="A119" s="6" t="str">
        <f>VLOOKUP("prefaweiß/prefaweiß",Sprachindex!A:Z,Info!$O$6,FALSE)</f>
        <v>prefaweiß/prefaweiß</v>
      </c>
      <c r="D119" s="6"/>
    </row>
    <row r="120" spans="1:4">
      <c r="A120" s="6" t="str">
        <f>VLOOKUP("13 naturblank",Sprachindex!A:Z,Info!$O$6,FALSE)</f>
        <v>13 naturblank</v>
      </c>
      <c r="D120" s="6"/>
    </row>
    <row r="122" spans="1:4">
      <c r="A122" s="6" t="str">
        <f>VLOOKUP("m²",Sprachindex!A:Z,Info!$O$6,FALSE)</f>
        <v>m²</v>
      </c>
    </row>
    <row r="123" spans="1:4">
      <c r="A123" s="6" t="str">
        <f>VLOOKUP("Stk",Sprachindex!A:Z,Info!$O$6,FALSE)</f>
        <v>STK</v>
      </c>
    </row>
    <row r="124" spans="1:4">
      <c r="A124" s="6" t="str">
        <f>VLOOKUP("lfm",Sprachindex!A:Z,Info!$O$6,FALSE)</f>
        <v>lfm</v>
      </c>
    </row>
    <row r="125" spans="1:4">
      <c r="A125" s="6" t="str">
        <f>VLOOKUP("Karton",Sprachindex!A:Z,Info!$O$6,FALSE)</f>
        <v>Karton</v>
      </c>
    </row>
    <row r="126" spans="1:4">
      <c r="A126" s="6" t="str">
        <f>VLOOKUP("kg",Sprachindex!A:Z,Info!$O$6,FALSE)</f>
        <v>kg</v>
      </c>
    </row>
    <row r="127" spans="1:4">
      <c r="A127" s="6" t="str">
        <f>VLOOKUP("Rolle",Sprachindex!A:Z,Info!$O$6,FALSE)</f>
        <v>Rolle</v>
      </c>
    </row>
    <row r="128" spans="1:4">
      <c r="A128" s="6" t="str">
        <f>VLOOKUP("Rollen",Sprachindex!A:Z,Info!$O$6,FALSE)</f>
        <v>Rollen</v>
      </c>
    </row>
    <row r="130" spans="1:4">
      <c r="A130" s="6" t="str">
        <f>VLOOKUP("braun/anthrazit",Sprachindex!A:Z,Info!$O$6,FALSE)</f>
        <v>braun/anthrazit</v>
      </c>
      <c r="C130" s="19"/>
    </row>
    <row r="131" spans="1:4">
      <c r="A131" s="6" t="str">
        <f>VLOOKUP("hellgrau/hellgrau",Sprachindex!A:Z,Info!$O$6,FALSE)</f>
        <v>hellgrau/hellgrau</v>
      </c>
      <c r="C131" s="19"/>
    </row>
    <row r="133" spans="1:4">
      <c r="A133" s="6" t="str">
        <f>VLOOKUP("01 P.10 braun",Sprachindex!A:Z,Info!$O$6,FALSE)</f>
        <v>01 P.10 braun</v>
      </c>
    </row>
    <row r="134" spans="1:4">
      <c r="A134" s="6" t="str">
        <f>VLOOKUP("02 P.10 anthrazit",Sprachindex!A:Z,Info!$O$6,FALSE)</f>
        <v>02 P.10 anthrazit</v>
      </c>
    </row>
    <row r="135" spans="1:4">
      <c r="A135" s="6" t="str">
        <f>VLOOKUP("03 P.10 schwarz",Sprachindex!A:Z,Info!$O$6,FALSE)</f>
        <v>03 P.10 schwarz</v>
      </c>
    </row>
    <row r="136" spans="1:4">
      <c r="A136" s="6" t="str">
        <f>VLOOKUP("04 P.10 ziegelrot",Sprachindex!A:Z,Info!$O$6,FALSE)</f>
        <v>04 P.10 ziegelrot</v>
      </c>
    </row>
    <row r="137" spans="1:4">
      <c r="A137" s="6" t="str">
        <f>VLOOKUP("05 P.10 oxydrot",Sprachindex!A:Z,Info!$O$6,FALSE)</f>
        <v>05 P.10 oxydrot</v>
      </c>
    </row>
    <row r="138" spans="1:4">
      <c r="A138" s="6" t="str">
        <f>VLOOKUP("06 P.10 moosgrün",Sprachindex!A:Z,Info!$O$6,FALSE)</f>
        <v>06 P.10 moosgrün</v>
      </c>
      <c r="D138" s="120"/>
    </row>
    <row r="139" spans="1:4">
      <c r="A139" s="6" t="str">
        <f>VLOOKUP("07 P.10 hellgrau ",Sprachindex!A:Z,Info!$O$6,FALSE)</f>
        <v xml:space="preserve">07 P.10 hellgrau </v>
      </c>
      <c r="D139" s="121"/>
    </row>
    <row r="140" spans="1:4">
      <c r="A140" s="6" t="str">
        <f>VLOOKUP("11 P.10 nussbraun",Sprachindex!A:Z,Info!$O$6,FALSE)</f>
        <v>11 P.10 nussbraun</v>
      </c>
    </row>
    <row r="141" spans="1:4">
      <c r="A141" s="6" t="str">
        <f>VLOOKUP("43 P.10 steingrau",Sprachindex!A:Z,Info!$O$6,FALSE)</f>
        <v>43 P.10 steingrau</v>
      </c>
    </row>
    <row r="142" spans="1:4">
      <c r="A142" s="6" t="str">
        <f>VLOOKUP("13 naturblank",Sprachindex!A:Z,Info!$O$6,FALSE)</f>
        <v>13 naturblank</v>
      </c>
    </row>
    <row r="144" spans="1:4">
      <c r="A144" s="24" t="str">
        <f>VLOOKUP("PREFA Dachlukendeckel mit Holzrahmen
(Innenmass 600x600mm)",Sprachindex!A:Z,Info!$O$6,FALSE)</f>
        <v>PREFA Dachlukendeckel mit Holzrahmen
(Innenmass 600x600mm)</v>
      </c>
    </row>
    <row r="145" spans="1:1">
      <c r="A145" s="19" t="str">
        <f>VLOOKUP("PREFA Holzrahmen
(Innenmass 600 x 600 mm)",Sprachindex!A:Z,Info!$O$6,FALSE)</f>
        <v>PREFA Holzrahmen
(Innenmass 600 x 600 mm)</v>
      </c>
    </row>
    <row r="146" spans="1:1">
      <c r="A146" s="19" t="str">
        <f>VLOOKUP("PREFA Dachlukendeckel
(Innenmass 600 x 600 mm)",Sprachindex!A:Z,Info!$O$6,FALSE)</f>
        <v>PREFA Dachlukendeckel
(Innenmass 600 x 600 mm)</v>
      </c>
    </row>
    <row r="148" spans="1:1">
      <c r="A148" t="str">
        <f>VLOOKUP("1.500 mm",Sprachindex!A:Z,Info!$O$6,FALSE)</f>
        <v>1.500 mm</v>
      </c>
    </row>
    <row r="149" spans="1:1">
      <c r="A149" t="str">
        <f>VLOOKUP("3.000 mm",Sprachindex!A:Z,Info!$O$6,FALSE)</f>
        <v>3.000 mm</v>
      </c>
    </row>
    <row r="151" spans="1:1">
      <c r="A151" t="str">
        <f>VLOOKUP("⌀ 100 mm passend für HT/KG (NW 110 mm)",Sprachindex!A:Z,Info!$O$6,FALSE)</f>
        <v>⌀ 100 mm passend für HT/KG (NW 110 mm)</v>
      </c>
    </row>
    <row r="152" spans="1:1">
      <c r="A152" t="str">
        <f>VLOOKUP("⌀ 115 mm passend für HT/KG (NW 125 mm)",Sprachindex!A:Z,Info!$O$6,FALSE)</f>
        <v>⌀ 115 mm passend für HT/KG (NW 125 mm)</v>
      </c>
    </row>
    <row r="154" spans="1:1">
      <c r="A154" t="str">
        <f>VLOOKUP("333 mm / 100 × 100 mm",Sprachindex!A:Z,Info!$O$6,FALSE)</f>
        <v>333 mm / 100 × 100 mm</v>
      </c>
    </row>
    <row r="155" spans="1:1">
      <c r="A155" t="str">
        <f>VLOOKUP("400 mm / 100 × 100 mm",Sprachindex!A:Z,Info!$O$6,FALSE)</f>
        <v>400 mm / 100 × 100 mm</v>
      </c>
    </row>
    <row r="157" spans="1:1">
      <c r="A157" t="str">
        <f>VLOOKUP("140 mm",Sprachindex!A:Z,Info!$O$6,FALSE)</f>
        <v>140 mm</v>
      </c>
    </row>
    <row r="158" spans="1:1">
      <c r="A158" t="str">
        <f>VLOOKUP("200 mm",Sprachindex!A:Z,Info!$O$6,FALSE)</f>
        <v>200 mm</v>
      </c>
    </row>
    <row r="159" spans="1:1">
      <c r="A159" t="str">
        <f>VLOOKUP("330 mm",Sprachindex!A:Z,Info!$O$6,FALSE)</f>
        <v>330 mm</v>
      </c>
    </row>
    <row r="161" spans="1:5">
      <c r="A161" t="str">
        <f>VLOOKUP("100–160 mm",Sprachindex!A:Z,Info!$O$6,FALSE)</f>
        <v>100–160 mm</v>
      </c>
    </row>
    <row r="162" spans="1:5">
      <c r="A162" t="str">
        <f>VLOOKUP("180–220 mm",Sprachindex!A:Z,Info!$O$6,FALSE)</f>
        <v>180–220 mm</v>
      </c>
    </row>
    <row r="164" spans="1:5">
      <c r="A164" t="str">
        <f>VLOOKUP("100–180 mm",Sprachindex!A:Z,Info!$O$6,FALSE)</f>
        <v>100–180 mm</v>
      </c>
    </row>
    <row r="165" spans="1:5">
      <c r="A165" t="str">
        <f>VLOOKUP("180–260 mm",Sprachindex!A:Z,Info!$O$6,FALSE)</f>
        <v>180–260 mm</v>
      </c>
      <c r="E165" s="35" t="s">
        <v>720</v>
      </c>
    </row>
    <row r="166" spans="1:5">
      <c r="E166" s="35"/>
    </row>
    <row r="167" spans="1:5">
      <c r="A167" t="str">
        <f>VLOOKUP("3 m",Sprachindex!A:Z,Info!$O$6,FALSE)</f>
        <v>3 m</v>
      </c>
      <c r="B167" s="24" t="str">
        <f>IF(RI!N23=1,RI!G24,IF(RI!N23=2,RI!G25,IF(RI!N23=3,RI!G26,IF(RI!N23=4,RI!G27,IF(RI!N23=5,VLOOKUP("Dimension nicht möglich",Sprachindex!A:Z,Info!$O$6,FALSE),"")))))</f>
        <v/>
      </c>
      <c r="E167" s="35" t="str">
        <f>IF(RI!N23=0,"",IF(B167= "Dimension nicht möglich","",B167 &amp; ", " &amp; A167))</f>
        <v/>
      </c>
    </row>
    <row r="168" spans="1:5">
      <c r="A168" t="str">
        <f>VLOOKUP("6 m",Sprachindex!A:Z,Info!$O$6,FALSE)</f>
        <v>6 m</v>
      </c>
      <c r="B168" s="24" t="str">
        <f>IF(RI!N23=1,RI!G24,IF(RI!N23=2,RI!G25,IF(RI!N23=3,RI!G26,IF(RI!N23=4,RI!G27,IF(RI!N23=5,VLOOKUP("Dimension nicht möglich",Sprachindex!A:Z,Info!$O$6,FALSE),"")))))</f>
        <v/>
      </c>
      <c r="E168" s="35" t="str">
        <f>IF(RI!N23=0,"",IF(B168= "Dimension nicht möglich","",B168 &amp; ", " &amp; A168))</f>
        <v/>
      </c>
    </row>
    <row r="169" spans="1:5">
      <c r="B169" s="24"/>
      <c r="E169" s="36"/>
    </row>
    <row r="170" spans="1:5">
      <c r="B170" s="24"/>
      <c r="E170" s="35" t="s">
        <v>721</v>
      </c>
    </row>
    <row r="171" spans="1:5">
      <c r="E171" s="38"/>
    </row>
    <row r="172" spans="1:5">
      <c r="A172" t="str">
        <f>VLOOKUP("normal",Sprachindex!A:Z,Info!$O$6,FALSE)</f>
        <v>normal</v>
      </c>
      <c r="B172" t="str">
        <f>IF(RI!N23=1,RI!G24,IF(RI!N23=2,RI!G25,IF(RI!N23=3,RI!G26,IF(RI!N23=4,RI!G27,IF(RI!N23=5,VLOOKUP("Dimension nicht möglich",Sprachindex!A:Z,Info!$O$6,FALSE),"")))))</f>
        <v/>
      </c>
      <c r="E172" s="38" t="str">
        <f>IF(RI!N23=0,"",IF(RI!N23=5,"",B172 &amp; ", " &amp; A172))</f>
        <v/>
      </c>
    </row>
    <row r="173" spans="1:5">
      <c r="A173" t="str">
        <f>VLOOKUP("kurz",Sprachindex!A:Z,Info!$O$6,FALSE)</f>
        <v>kurz</v>
      </c>
      <c r="B173" t="str">
        <f>IF(RI!N23=1,RI!G24,IF(RI!N23=2,RI!G25,IF(RI!N23=3,RI!G26,IF(RI!N23=4,RI!G27,IF(RI!N23=5,VLOOKUP("Dimension nicht möglich",Sprachindex!A:Z,Info!$O$6,FALSE),"")))))</f>
        <v/>
      </c>
      <c r="E173" s="38" t="str">
        <f>IF(RI!N23=0,"",IF(RI!N23=4,"",IF(RI!N23=5,"",B173 &amp; ", " &amp; A173)))</f>
        <v/>
      </c>
    </row>
    <row r="174" spans="1:5">
      <c r="A174" t="str">
        <f>VLOOKUP("lang",Sprachindex!A:Z,Info!$O$6,FALSE)</f>
        <v>lang</v>
      </c>
      <c r="B174" t="str">
        <f>IF(RI!N23=1,RI!G24,IF(RI!N23=2,RI!G25,IF(RI!N23=3,RI!G26,IF(RI!N23=4,RI!G27,IF(RI!N23=5,VLOOKUP("Dimension nicht möglich",Sprachindex!A:Z,Info!$O$6,FALSE),"")))))</f>
        <v/>
      </c>
      <c r="E174" s="35" t="str">
        <f>IF(RI!N23=0,"",IF(RI!N23=1,"",IF(RI!N23=4,"",IF(RI!N23=5,"",B174 &amp; ", " &amp; A174))))</f>
        <v/>
      </c>
    </row>
    <row r="176" spans="1:5">
      <c r="E176" s="35" t="s">
        <v>789</v>
      </c>
    </row>
    <row r="177" spans="1:5">
      <c r="E177" s="35"/>
    </row>
    <row r="178" spans="1:5">
      <c r="A178" t="str">
        <f>VLOOKUP("6 m",Sprachindex!A:Z,Info!$O$6,FALSE)</f>
        <v>6 m</v>
      </c>
      <c r="B178" t="str">
        <f>IF(RI!N23=1,RI!G24,IF(RI!N23=2,RI!G25,IF(RI!N23=3,RI!G26,IF(RI!N23=4,RI!G27,IF(RI!N23=5,RI!G28,"")))))</f>
        <v/>
      </c>
      <c r="E178" s="35" t="str">
        <f>IF(RI!N23=0,"",B178 &amp; ", " &amp;A178)</f>
        <v/>
      </c>
    </row>
    <row r="179" spans="1:5">
      <c r="A179" t="str">
        <f>VLOOKUP("3 m",Sprachindex!A:Z,Info!$O$6,FALSE)</f>
        <v>3 m</v>
      </c>
      <c r="B179" t="str">
        <f>IF(RI!N23=1,RI!G24,IF(RI!N23=2,RI!G25,IF(RI!N23=3,RI!G26,IF(RI!N23=4,RI!G27,IF(RI!N23=5,RI!G28,"")))))</f>
        <v/>
      </c>
      <c r="E179" s="35" t="str">
        <f>IF(RI!N23=0,"",IF(RI!N23=4,"",B179 &amp; ", " &amp;A179))</f>
        <v/>
      </c>
    </row>
    <row r="181" spans="1:5">
      <c r="A181" s="34" t="str">
        <f>VLOOKUP("Dimension nicht möglich",Sprachindex!A:Z,Info!$O$6,FALSE)</f>
        <v>Dimension nicht möglich</v>
      </c>
      <c r="E181" s="35" t="s">
        <v>723</v>
      </c>
    </row>
    <row r="182" spans="1:5">
      <c r="E182" s="35"/>
    </row>
    <row r="183" spans="1:5">
      <c r="A183" t="str">
        <f>VLOOKUP("normal",Sprachindex!A:Z,Info!$O$6,FALSE)</f>
        <v>normal</v>
      </c>
      <c r="B183" t="str">
        <f>IF(RI!N23=1,RI!G24,IF(RI!N23=2,RI!G25,IF(RI!N23=3,RI!G26,IF(RI!N23=4,RI!G27,IF(RI!N23=5,VLOOKUP("Dimension nicht möglich",Sprachindex!A:Z,Info!$O$6,FALSE),"")))))</f>
        <v/>
      </c>
      <c r="E183" s="35" t="str">
        <f>IF(RI!N23=3,B183 &amp; ", " &amp; A183,"")</f>
        <v/>
      </c>
    </row>
    <row r="184" spans="1:5">
      <c r="A184" t="str">
        <f>VLOOKUP("kurz",Sprachindex!A:Z,Info!$O$6,FALSE)</f>
        <v>kurz</v>
      </c>
      <c r="B184" t="str">
        <f>IF(RI!N23=1,RI!G24,IF(RI!N23=2,RI!G25,IF(RI!N23=3,RI!G26,IF(RI!N23=4,RI!G27,IF(RI!N23=5,VLOOKUP("Dimension nicht möglich",Sprachindex!A:Z,Info!$O$6,FALSE),"")))))</f>
        <v/>
      </c>
      <c r="E184" t="str">
        <f>IF(RI!N23=3,B184 &amp; ", " &amp; A184,"")</f>
        <v/>
      </c>
    </row>
    <row r="186" spans="1:5">
      <c r="A186" s="35" t="s">
        <v>782</v>
      </c>
      <c r="B186" s="35"/>
    </row>
    <row r="187" spans="1:5">
      <c r="A187" s="35" t="str">
        <f>IF(RI!N23=0,"",IF(RI!N23=1,RI!G24,IF(RI!N23=2,RI!G25,IF(RI!N23=3,RI!G26,IF(RI!N23=4,RI!G27,IF(RI!N23=5,VLOOKUP("Dimension nicht möglich",Sprachindex!A:Z,Info!$O$6,FALSE),""))))))</f>
        <v/>
      </c>
      <c r="B187" s="35"/>
    </row>
    <row r="188" spans="1:5">
      <c r="A188" s="36"/>
      <c r="B188" s="36"/>
    </row>
    <row r="189" spans="1:5">
      <c r="A189" s="35" t="s">
        <v>783</v>
      </c>
      <c r="B189" s="35"/>
    </row>
    <row r="190" spans="1:5">
      <c r="A190" s="35" t="str">
        <f>IF(RI!N23=0,"",IF(RI!N23=1,RI!G24,IF(RI!N23=5,RI!G28,IF(RI!N23=3,RI!G26,IF(RI!N23=4,RI!G27,IF(RI!N23=2,VLOOKUP("Dimension nicht möglich",Sprachindex!A:Z,Info!$O$6,FALSE),A181))))))</f>
        <v/>
      </c>
      <c r="B190" s="35"/>
    </row>
    <row r="191" spans="1:5">
      <c r="A191" s="36"/>
      <c r="B191" s="36"/>
    </row>
    <row r="192" spans="1:5">
      <c r="A192" s="35" t="s">
        <v>819</v>
      </c>
      <c r="B192" s="35"/>
    </row>
    <row r="193" spans="1:6">
      <c r="A193" s="35" t="str">
        <f>IF(RI!N23=0,"",IF(RI!N23=1,RI!G24,IF(RI!N23=3,RI!G26,IF(RI!N23=4,RI!G27,A181))))</f>
        <v/>
      </c>
      <c r="B193" s="35"/>
    </row>
    <row r="194" spans="1:6">
      <c r="A194" s="36"/>
      <c r="B194" s="36"/>
    </row>
    <row r="196" spans="1:6">
      <c r="A196" t="str">
        <f>IF(AND(RI!N23=1,RI!N24=2),Formeln!E196 &amp; " x " &amp; Formeln!F197,IF(AND(RI!N23=3,RI!N24=3),E198 &amp; " x " &amp; F198,IF(AND(RI!N23=4,RI!N24=4),Formeln!E199 &amp; " x " &amp; Formeln!F199,IF(AND(RI!N23=5,RI!N24=4),Formeln!E200 &amp; " x " &amp; Formeln!F199,A181))))</f>
        <v>Dimension nicht möglich</v>
      </c>
      <c r="E196" s="33">
        <f>VLOOKUP(250,Sprachindex!A:Z,Info!O6,FALSE)</f>
        <v>250</v>
      </c>
      <c r="F196" s="32" t="str">
        <f>VLOOKUP("60 ⌀",Sprachindex!A:Z,Info!O6,FALSE)</f>
        <v>60 ⌀</v>
      </c>
    </row>
    <row r="197" spans="1:6">
      <c r="E197" s="33">
        <f>VLOOKUP(280,Sprachindex!A:Z,Info!O6,FALSE)</f>
        <v>280</v>
      </c>
      <c r="F197" s="32" t="str">
        <f>VLOOKUP("80 ⌀",Sprachindex!A:Z,Info!O6,FALSE)</f>
        <v>80 ⌀</v>
      </c>
    </row>
    <row r="198" spans="1:6">
      <c r="E198" s="33">
        <f>VLOOKUP(333,Sprachindex!A:Z,Info!O6,FALSE)</f>
        <v>333</v>
      </c>
      <c r="F198" s="32" t="str">
        <f>VLOOKUP("100 ⌀",Sprachindex!A:Z,Info!O6,FALSE)</f>
        <v>100 ⌀</v>
      </c>
    </row>
    <row r="199" spans="1:6">
      <c r="E199" s="33">
        <f>VLOOKUP(400,Sprachindex!A:Z,Info!O6,FALSE)</f>
        <v>400</v>
      </c>
      <c r="F199" s="32" t="str">
        <f>VLOOKUP("120 ⌀",Sprachindex!A:Z,Info!O6,FALSE)</f>
        <v>120 ⌀</v>
      </c>
    </row>
    <row r="200" spans="1:6">
      <c r="E200" s="33">
        <f>VLOOKUP(500,Sprachindex!A:Z,Info!O6,FALSE)</f>
        <v>500</v>
      </c>
      <c r="F200" s="32" t="str">
        <f>VLOOKUP("150 ⌀",Sprachindex!A:Z,Info!O6,FALSE)</f>
        <v>150 ⌀</v>
      </c>
    </row>
    <row r="202" spans="1:6">
      <c r="A202" s="35" t="s">
        <v>728</v>
      </c>
      <c r="B202" s="35"/>
    </row>
    <row r="203" spans="1:6">
      <c r="A203" s="35" t="str">
        <f>IF(RI!N23=0,"",IF(AND(RI!N23=1,RI!N24=2),E196 &amp; " x " &amp;F197,IF(AND(RI!N23=2,RI!N24=2),E197 &amp; " x " &amp;F197,IF(AND(RI!N23=3,RI!N24=2),E198 &amp; " x " &amp;F197,IF(AND(RI!N23=4,RI!N24=4),E199 &amp; " x " &amp;F199,IF(AND(RI!N23=2,RI!N24=3),E197 &amp; " x " &amp;F198,IF(AND(RI!N23=3,RI!N24=3),E198 &amp; " x " &amp;F198,IF(AND(RI!N23=4,RI!N24=5),E199 &amp; " x " &amp;F200,IF(AND(RI!N23=3,RI!N24=4),E198 &amp; " x " &amp;F199,A181)))))))))</f>
        <v/>
      </c>
      <c r="B203" s="35"/>
    </row>
    <row r="204" spans="1:6">
      <c r="A204" s="36"/>
    </row>
    <row r="205" spans="1:6">
      <c r="A205" s="35" t="s">
        <v>729</v>
      </c>
      <c r="B205" s="35"/>
    </row>
    <row r="206" spans="1:6">
      <c r="A206" s="35" t="str">
        <f>IF(RI!N23=0,"",IF(AND(RI!N23=1,RI!N24=2),Formeln!E196 &amp; " x " &amp; Formeln!F197,IF(AND(RI!N23=2,RI!N24=2),Formeln!E197 &amp; " x " &amp; Formeln!F197,IF(AND(RI!N23=3,RI!N24=2),Formeln!E198 &amp; " x " &amp; Formeln!F197,IF(AND(RI!N23=2,RI!N24=3),Formeln!E197 &amp; " x " &amp; Formeln!F198,IF(AND(RI!N23=3,RI!N24=3),Formeln!E198 &amp; " x " &amp; Formeln!F198,IF(AND(RI!N23=3,RI!N24=4),Formeln!E198 &amp; " x " &amp; Formeln!F199,IF(AND(RI!N23=4,RI!N24=4),Formeln!E199 &amp; " x " &amp; Formeln!F199,A181))))))))</f>
        <v/>
      </c>
      <c r="B206" s="35"/>
    </row>
    <row r="208" spans="1:6">
      <c r="A208" s="35" t="s">
        <v>781</v>
      </c>
      <c r="B208" s="35"/>
      <c r="C208" s="35"/>
      <c r="D208" s="35"/>
      <c r="E208" s="35"/>
    </row>
    <row r="209" spans="1:5">
      <c r="A209" s="35"/>
      <c r="B209" s="35"/>
      <c r="C209" s="35"/>
      <c r="D209" s="35"/>
      <c r="E209" s="35"/>
    </row>
    <row r="210" spans="1:5">
      <c r="A210" s="35" t="str">
        <f>VLOOKUP("6 m",Sprachindex!A:Z,Info!$O$6,FALSE)</f>
        <v>6 m</v>
      </c>
      <c r="B210" s="35" t="str">
        <f>IF(RI!N23=1,RI!G24,IF(RI!N23=5,RI!G28,IF(RI!N23=3,RI!G26,IF(RI!N23=4,RI!G27,A181))))</f>
        <v>Dimension nicht möglich</v>
      </c>
      <c r="C210" s="35"/>
      <c r="D210" s="35"/>
      <c r="E210" s="35" t="str">
        <f>IF(B210=A181,"",B210 &amp; ", " &amp;A210)</f>
        <v/>
      </c>
    </row>
    <row r="211" spans="1:5">
      <c r="A211" s="35" t="str">
        <f>VLOOKUP("3 m",Sprachindex!A:Z,Info!$O$6,FALSE)</f>
        <v>3 m</v>
      </c>
      <c r="B211" s="35" t="str">
        <f>IF(RI!N23=1,RI!G24,IF(RI!N23=5,RI!G28,IF(RI!N23=3,RI!G26,IF(RI!N23=4,RI!G27,A181))))</f>
        <v>Dimension nicht möglich</v>
      </c>
      <c r="C211" s="35"/>
      <c r="D211" s="35"/>
      <c r="E211" s="35" t="str">
        <f>IF(RI!N23=4,"",IF(B211=A181,"",B211 &amp; ", " &amp;A211))</f>
        <v/>
      </c>
    </row>
    <row r="213" spans="1:5">
      <c r="A213" s="37" t="s">
        <v>785</v>
      </c>
      <c r="B213" s="35"/>
      <c r="C213" s="35"/>
      <c r="D213" s="35"/>
      <c r="E213" s="35"/>
    </row>
    <row r="214" spans="1:5">
      <c r="A214" s="37" t="str">
        <f>IF(RI!N23=0,"",IF(RI!N23=1,D214,IF(RI!N23=3,D215,IF(RI!N23=4,D216,IF(RI!N23=5,D217,A181)))))</f>
        <v/>
      </c>
      <c r="B214" s="35"/>
      <c r="C214" s="35"/>
      <c r="D214" s="35" t="str">
        <f>VLOOKUP("250/23 × 7",Sprachindex!A:Z,Info!$O$6,FALSE)</f>
        <v>250/23 × 7</v>
      </c>
      <c r="E214" s="35"/>
    </row>
    <row r="215" spans="1:5">
      <c r="A215" s="35"/>
      <c r="B215" s="35"/>
      <c r="C215" s="35"/>
      <c r="D215" s="35" t="str">
        <f>VLOOKUP("333/28 × 7",Sprachindex!A:Z,Info!$O$6,FALSE)</f>
        <v>333/28 × 7</v>
      </c>
      <c r="E215" s="35"/>
    </row>
    <row r="216" spans="1:5">
      <c r="A216" s="35"/>
      <c r="B216" s="35"/>
      <c r="C216" s="35"/>
      <c r="D216" s="35" t="str">
        <f>VLOOKUP("400/30 × 7",Sprachindex!A:Z,Info!$O$6,FALSE)</f>
        <v>400/30 × 7</v>
      </c>
      <c r="E216" s="35"/>
    </row>
    <row r="217" spans="1:5">
      <c r="A217" s="35"/>
      <c r="B217" s="35"/>
      <c r="C217" s="35"/>
      <c r="D217" s="35" t="str">
        <f>VLOOKUP("500/35 × 7",Sprachindex!A:Z,Info!$O$6,FALSE)</f>
        <v>500/35 × 7</v>
      </c>
      <c r="E217" s="35"/>
    </row>
    <row r="221" spans="1:5">
      <c r="A221" s="37" t="s">
        <v>784</v>
      </c>
      <c r="B221" s="37"/>
      <c r="C221" s="35"/>
      <c r="D221" s="35"/>
    </row>
    <row r="222" spans="1:5">
      <c r="A222" s="37" t="str">
        <f>IF(RI!N23=0,"",IF(RI!N23=1,D222,IF(RI!N23=3,D223,A181)))</f>
        <v/>
      </c>
      <c r="B222" s="37"/>
      <c r="C222" s="35"/>
      <c r="D222" s="35" t="str">
        <f>VLOOKUP("250/23 × 7",Sprachindex!A:Z,Info!$O$6,FALSE)</f>
        <v>250/23 × 7</v>
      </c>
    </row>
    <row r="223" spans="1:5">
      <c r="A223" s="35"/>
      <c r="B223" s="35"/>
      <c r="C223" s="35"/>
      <c r="D223" s="35" t="str">
        <f>VLOOKUP("333/28 × 7",Sprachindex!A:Z,Info!$O$6,FALSE)</f>
        <v>333/28 × 7</v>
      </c>
    </row>
    <row r="225" spans="1:5">
      <c r="A225" s="35" t="s">
        <v>788</v>
      </c>
      <c r="B225" s="35"/>
    </row>
    <row r="226" spans="1:5">
      <c r="A226" s="35" t="str">
        <f>IF(RI!N23=0,"",IF(RI!N23=1,E196,IF(RI!N23=3,E198,IF(RI!N23=4,E199,A181))))</f>
        <v/>
      </c>
      <c r="B226" s="35"/>
    </row>
    <row r="228" spans="1:5">
      <c r="A228" s="35" t="s">
        <v>736</v>
      </c>
      <c r="B228" s="35"/>
      <c r="C228" s="36"/>
      <c r="D228" s="36"/>
      <c r="E228" s="36"/>
    </row>
    <row r="229" spans="1:5">
      <c r="A229" s="35" t="str">
        <f>IF(OR(RI!N23=0,RI!N24=0),"",IF(AND(RI!N23=1,RI!N24=2),Formeln!E196&amp;" x "&amp;Formeln!F197,IF(AND(RI!N23=3,RI!N24=3),Formeln!E198&amp;" x "&amp;Formeln!F198,IF(AND(RI!N23=4,RI!N24=4),Formeln!E199 &amp; " x " &amp; Formeln!F199,IF(AND(RI!N23=5,RI!N24=4),Formeln!E200 &amp; " x " &amp; Formeln!F199,IF(AND(RI!N23=5,RI!N24=5),Formeln!E200 &amp; " x " &amp; Formeln!F200,A181))))))</f>
        <v/>
      </c>
      <c r="B229" s="35"/>
      <c r="C229" s="36"/>
      <c r="D229" s="36"/>
      <c r="E229" s="35"/>
    </row>
    <row r="230" spans="1:5">
      <c r="C230" s="36"/>
      <c r="D230" s="36"/>
      <c r="E230" s="35" t="str">
        <f>IF(AND(RI!$N$23=0,RI!$N$24=0),"",IF(AND(RI!N23=1,RI!N24=2),Formeln!E196 &amp; " x " &amp; Formeln!F197,IF(AND(RI!N23=3,RI!N24=3),Formeln!E198 &amp; " x " &amp; Formeln!F198,IF(AND(RI!N23=4,RI!N24=4),Formeln!E199 &amp; " x " &amp; Formeln!F199,IF(AND(RI!N23=5,RI!N24=4),Formeln!E200 &amp; " x " &amp; Formeln!F199,A181)))))</f>
        <v/>
      </c>
    </row>
    <row r="231" spans="1:5">
      <c r="C231" s="36"/>
      <c r="D231" s="36"/>
      <c r="E231" s="35" t="str">
        <f>IF(AND(RI!N23=5,RI!N24=5),E200 &amp; " x " &amp; F200,"")</f>
        <v/>
      </c>
    </row>
    <row r="233" spans="1:5">
      <c r="A233" s="35" t="s">
        <v>797</v>
      </c>
      <c r="B233" s="35"/>
    </row>
    <row r="234" spans="1:5">
      <c r="A234" s="35" t="str">
        <f>IF(RI!N24=0,"",IF(RI!N24=2,F197,IF(RI!N24=3,F198,IF(RI!N24=4,F199,IF(RI!N24=5,F200,A181)))))</f>
        <v/>
      </c>
    </row>
    <row r="236" spans="1:5">
      <c r="A236" s="35" t="s">
        <v>743</v>
      </c>
      <c r="B236" s="35"/>
      <c r="C236" s="35"/>
      <c r="D236" s="35"/>
    </row>
    <row r="237" spans="1:5">
      <c r="A237" s="35" t="str">
        <f>IF(RI!N24=0,"",IF(RI!N24=1,F196,IF(RI!N24=2,F197,IF(RI!N24=3,F198,IF(RI!N24=4,F199,IF(RI!N24=5,F200,A181))))))</f>
        <v/>
      </c>
    </row>
    <row r="239" spans="1:5">
      <c r="A239" s="35" t="s">
        <v>745</v>
      </c>
    </row>
    <row r="240" spans="1:5">
      <c r="A240" s="35" t="str">
        <f>IF(RI!N24=1,F196,IF(RI!N24=2,F197,IF(RI!N24=3,F198,IF(RI!N24=4,F199,IF(RI!N24=5,F200,"")))))</f>
        <v/>
      </c>
    </row>
    <row r="242" spans="1:2">
      <c r="A242" s="35" t="s">
        <v>796</v>
      </c>
    </row>
    <row r="243" spans="1:2">
      <c r="A243" s="35" t="str">
        <f>IF(RI!N24=0,"",IF(RI!N24=2,F197,IF(RI!N24=3,F198,IF(RI!N24=4,F199,A181))))</f>
        <v/>
      </c>
    </row>
    <row r="245" spans="1:2">
      <c r="A245" s="35" t="s">
        <v>750</v>
      </c>
    </row>
    <row r="246" spans="1:2">
      <c r="A246" s="35"/>
    </row>
    <row r="247" spans="1:2">
      <c r="A247" s="35" t="str">
        <f>IF(RI!N24=2,"80 x " &amp; F197,IF(RI!N24=3,"100 x " &amp; F197,IF(RI!N24=4,"120 x " &amp; F197,"")))</f>
        <v/>
      </c>
      <c r="B247">
        <v>1</v>
      </c>
    </row>
    <row r="248" spans="1:2">
      <c r="A248" s="35" t="str">
        <f>IF(RI!N24=2,"",IF(RI!N24=3,"100 x " &amp; F198,IF(RI!N24=4,"120 x " &amp; F198,"")))</f>
        <v/>
      </c>
      <c r="B248">
        <v>2</v>
      </c>
    </row>
    <row r="249" spans="1:2">
      <c r="A249" s="35" t="str">
        <f>IF(RI!N24=4,"120 x " &amp; F199,"")</f>
        <v/>
      </c>
      <c r="B249">
        <v>3</v>
      </c>
    </row>
    <row r="251" spans="1:2">
      <c r="A251" s="35" t="s">
        <v>741</v>
      </c>
    </row>
    <row r="252" spans="1:2">
      <c r="A252" s="35" t="str">
        <f>IF(RI!N24=0,VLOOKUP("60 ⌀ × 3.000 mm",Sprachindex!A:Z,Info!$O$6,FALSE),IF(RI!N24=1,VLOOKUP("60 ⌀ × 3.000 mm",Sprachindex!A:Z,Info!$O$6,FALSE),A181))</f>
        <v>60 ⌀ × 3.000 mm</v>
      </c>
    </row>
    <row r="254" spans="1:2">
      <c r="A254" s="35" t="s">
        <v>742</v>
      </c>
    </row>
    <row r="255" spans="1:2">
      <c r="A255" s="35" t="str">
        <f>IF(RI!N24=0,VLOOKUP("100 ⌀ × 1.450 mm",Sprachindex!A:Z,Info!$O$6,FALSE),IF(RI!N24=3,VLOOKUP("100 ⌀ × 1.450 mm",Sprachindex!A:Z,Info!$O$6,FALSE),A181))</f>
        <v>100 ⌀ × 1.450 mm</v>
      </c>
    </row>
    <row r="257" spans="1:3">
      <c r="A257" s="35" t="s">
        <v>805</v>
      </c>
    </row>
    <row r="258" spans="1:3">
      <c r="A258" s="35" t="str">
        <f>IF(RI!N24=0,VLOOKUP("100 ⌀ 700–1.100 mm",Sprachindex!A:Z,Info!$O$6,FALSE),IF(RI!N24=3,VLOOKUP("100 ⌀ 700–1.100 mm",Sprachindex!A:Z,Info!$O$6,FALSE),A181))</f>
        <v>100 ⌀ 700–1.100 mm</v>
      </c>
    </row>
    <row r="260" spans="1:3">
      <c r="A260" s="35" t="s">
        <v>806</v>
      </c>
      <c r="C260" t="s">
        <v>807</v>
      </c>
    </row>
    <row r="261" spans="1:3">
      <c r="A261" s="35"/>
      <c r="C261" t="s">
        <v>808</v>
      </c>
    </row>
    <row r="262" spans="1:3">
      <c r="A262" s="35" t="str">
        <f>IF(RI!N24=0,"",IF(RI!N24=2,C260,IF(RI!N24=3,C261,IF(RI!N24=4,C263,""))))</f>
        <v/>
      </c>
      <c r="C262" t="s">
        <v>809</v>
      </c>
    </row>
    <row r="263" spans="1:3">
      <c r="A263" s="35" t="str">
        <f>IF(RI!N24=0,"",IF(RI!N24=3,C262,""))</f>
        <v/>
      </c>
      <c r="C263" t="s">
        <v>810</v>
      </c>
    </row>
    <row r="265" spans="1:3">
      <c r="A265" s="35" t="s">
        <v>811</v>
      </c>
      <c r="C265" t="s">
        <v>812</v>
      </c>
    </row>
    <row r="266" spans="1:3">
      <c r="A266" s="35" t="str">
        <f>IF(RI!N24=0,"",IF(RI!N24=2,C265,IF(RI!N24=3,C266,IF(RI!N24=4,C267,A181))))</f>
        <v/>
      </c>
      <c r="C266" t="s">
        <v>813</v>
      </c>
    </row>
    <row r="267" spans="1:3">
      <c r="A267" s="35"/>
      <c r="C267" t="s">
        <v>814</v>
      </c>
    </row>
    <row r="269" spans="1:3">
      <c r="A269" s="35" t="s">
        <v>816</v>
      </c>
    </row>
    <row r="270" spans="1:3">
      <c r="A270" s="35"/>
    </row>
    <row r="271" spans="1:3">
      <c r="A271" s="40" t="str">
        <f>VLOOKUP("4 × 9,5 mm",Sprachindex!A:Z,Info!$O$6,FALSE)</f>
        <v>4 × 9,5 mm</v>
      </c>
    </row>
    <row r="272" spans="1:3">
      <c r="A272" s="40" t="str">
        <f>VLOOKUP("4,8 × 17 mm",Sprachindex!A:Z,Info!$O$6,FALSE)</f>
        <v>4,8 × 17 mm</v>
      </c>
    </row>
    <row r="273" spans="1:1">
      <c r="A273" s="36"/>
    </row>
    <row r="274" spans="1:1">
      <c r="A274" s="35" t="s">
        <v>760</v>
      </c>
    </row>
    <row r="275" spans="1:1">
      <c r="A275" s="35"/>
    </row>
    <row r="276" spans="1:1">
      <c r="A276" s="35" t="str">
        <f>VLOOKUP("0,75 l Dose",Sprachindex!A:Z,Info!$O$6,FALSE)</f>
        <v>0,75 l Dose</v>
      </c>
    </row>
    <row r="277" spans="1:1">
      <c r="A277" s="39" t="str">
        <f>VLOOKUP("50 ml Dose mit Pinsel",Sprachindex!A:Z,Info!$O$6,FALSE)</f>
        <v>50 ml Dose mit Pinsel</v>
      </c>
    </row>
  </sheetData>
  <conditionalFormatting sqref="G42:J42">
    <cfRule type="expression" priority="5">
      <formula>$G$42=$A$14</formula>
    </cfRule>
  </conditionalFormatting>
  <conditionalFormatting sqref="I37:J37">
    <cfRule type="expression" priority="1">
      <formula>$I$37=$A$171:$A$173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86A2E31C-CA14-439D-960F-C53D62450541}">
            <xm:f>RI!#REF!=$A$20</xm:f>
            <x14:dxf/>
          </x14:cfRule>
          <xm:sqref>H57</xm:sqref>
        </x14:conditionalFormatting>
        <x14:conditionalFormatting xmlns:xm="http://schemas.microsoft.com/office/excel/2006/main">
          <x14:cfRule type="expression" priority="39" id="{75FAAE3B-4DAB-444F-B043-744338C787F1}">
            <xm:f>RI!#REF!=$A$20</xm:f>
            <x14:dxf>
              <fill>
                <patternFill>
                  <bgColor theme="0" tint="-4.9989318521683403E-2"/>
                </patternFill>
              </fill>
            </x14:dxf>
          </x14:cfRule>
          <xm:sqref>H91</xm:sqref>
        </x14:conditionalFormatting>
        <x14:conditionalFormatting xmlns:xm="http://schemas.microsoft.com/office/excel/2006/main">
          <x14:cfRule type="expression" priority="47" id="{DA35FC52-DD5E-42EB-BB4F-DA2E3994CE9F}">
            <xm:f>RI!#REF!=$A$27</xm:f>
            <x14:dxf/>
          </x14:cfRule>
          <xm:sqref>I47:J47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N377"/>
  <sheetViews>
    <sheetView zoomScale="85" zoomScaleNormal="85" workbookViewId="0">
      <pane ySplit="1" topLeftCell="A125" activePane="bottomLeft" state="frozen"/>
      <selection pane="bottomLeft" activeCell="B62" sqref="B62"/>
    </sheetView>
  </sheetViews>
  <sheetFormatPr baseColWidth="10" defaultColWidth="11.3984375" defaultRowHeight="14.25"/>
  <cols>
    <col min="1" max="1" width="75.73046875" style="225" customWidth="1"/>
    <col min="2" max="3" width="75.73046875" style="226" customWidth="1"/>
    <col min="4" max="5" width="75.73046875" style="225" customWidth="1"/>
    <col min="6" max="6" width="75.73046875" style="226" customWidth="1"/>
    <col min="7" max="8" width="75.73046875" style="225" customWidth="1"/>
    <col min="9" max="9" width="75.73046875" style="62" customWidth="1"/>
    <col min="10" max="11" width="75.73046875" style="225" customWidth="1"/>
    <col min="12" max="13" width="75.73046875" style="62" customWidth="1"/>
    <col min="14" max="14" width="89.1328125" style="226" customWidth="1"/>
    <col min="15" max="16384" width="11.3984375" style="225"/>
  </cols>
  <sheetData>
    <row r="1" spans="1:14">
      <c r="A1" s="222" t="s">
        <v>1138</v>
      </c>
      <c r="B1" s="223" t="s">
        <v>1139</v>
      </c>
      <c r="C1" s="223" t="s">
        <v>1140</v>
      </c>
      <c r="D1" s="222" t="s">
        <v>1146</v>
      </c>
      <c r="E1" s="222" t="s">
        <v>1141</v>
      </c>
      <c r="F1" s="223" t="s">
        <v>1142</v>
      </c>
      <c r="G1" s="222" t="s">
        <v>1143</v>
      </c>
      <c r="H1" s="222" t="s">
        <v>1144</v>
      </c>
      <c r="I1" s="211" t="s">
        <v>1543</v>
      </c>
      <c r="J1" s="223" t="s">
        <v>2310</v>
      </c>
      <c r="K1" s="224" t="s">
        <v>1542</v>
      </c>
      <c r="L1" s="211" t="s">
        <v>3827</v>
      </c>
      <c r="M1" s="211" t="s">
        <v>4209</v>
      </c>
      <c r="N1" s="223" t="s">
        <v>3828</v>
      </c>
    </row>
    <row r="2" spans="1:14" ht="15" customHeight="1">
      <c r="A2" s="225" t="s">
        <v>88</v>
      </c>
      <c r="B2" s="226" t="s">
        <v>210</v>
      </c>
      <c r="C2" s="226" t="s">
        <v>211</v>
      </c>
      <c r="D2" s="226" t="s">
        <v>451</v>
      </c>
      <c r="E2" s="226" t="s">
        <v>694</v>
      </c>
      <c r="F2" s="226" t="s">
        <v>1154</v>
      </c>
      <c r="G2" s="225" t="s">
        <v>1269</v>
      </c>
      <c r="H2" s="225" t="s">
        <v>871</v>
      </c>
      <c r="I2" s="212" t="s">
        <v>5185</v>
      </c>
      <c r="J2" s="226" t="s">
        <v>2021</v>
      </c>
      <c r="K2" s="229" t="s">
        <v>4210</v>
      </c>
      <c r="L2" s="212" t="s">
        <v>4894</v>
      </c>
      <c r="M2" s="212" t="s">
        <v>4210</v>
      </c>
      <c r="N2" s="230" t="s">
        <v>3829</v>
      </c>
    </row>
    <row r="3" spans="1:14">
      <c r="A3" s="225" t="s">
        <v>0</v>
      </c>
      <c r="B3" s="226" t="s">
        <v>212</v>
      </c>
      <c r="C3" s="226" t="s">
        <v>213</v>
      </c>
      <c r="D3" s="226" t="s">
        <v>452</v>
      </c>
      <c r="E3" s="226" t="s">
        <v>576</v>
      </c>
      <c r="F3" s="226" t="s">
        <v>1155</v>
      </c>
      <c r="G3" s="225" t="s">
        <v>1270</v>
      </c>
      <c r="H3" s="225" t="s">
        <v>872</v>
      </c>
      <c r="I3" s="212" t="s">
        <v>5186</v>
      </c>
      <c r="J3" s="226" t="s">
        <v>2022</v>
      </c>
      <c r="K3" s="229" t="s">
        <v>4211</v>
      </c>
      <c r="L3" s="212" t="s">
        <v>4895</v>
      </c>
      <c r="M3" s="212" t="s">
        <v>4575</v>
      </c>
      <c r="N3" s="230" t="s">
        <v>3830</v>
      </c>
    </row>
    <row r="4" spans="1:14">
      <c r="A4" s="225" t="s">
        <v>824</v>
      </c>
      <c r="B4" s="226" t="s">
        <v>825</v>
      </c>
      <c r="C4" s="226" t="s">
        <v>826</v>
      </c>
      <c r="D4" s="226" t="s">
        <v>827</v>
      </c>
      <c r="E4" s="226" t="s">
        <v>828</v>
      </c>
      <c r="F4" s="226" t="s">
        <v>1156</v>
      </c>
      <c r="G4" s="225" t="s">
        <v>1271</v>
      </c>
      <c r="H4" s="225" t="s">
        <v>873</v>
      </c>
      <c r="I4" s="212" t="s">
        <v>5187</v>
      </c>
      <c r="J4" s="226" t="s">
        <v>2023</v>
      </c>
      <c r="K4" s="229" t="s">
        <v>4212</v>
      </c>
      <c r="L4" s="212" t="s">
        <v>4896</v>
      </c>
      <c r="M4" s="212" t="s">
        <v>4576</v>
      </c>
      <c r="N4" s="230" t="s">
        <v>3831</v>
      </c>
    </row>
    <row r="5" spans="1:14">
      <c r="A5" s="225" t="s">
        <v>1</v>
      </c>
      <c r="B5" s="226" t="s">
        <v>214</v>
      </c>
      <c r="C5" s="226" t="s">
        <v>829</v>
      </c>
      <c r="D5" s="226" t="s">
        <v>453</v>
      </c>
      <c r="E5" s="226" t="s">
        <v>577</v>
      </c>
      <c r="F5" s="226" t="s">
        <v>1157</v>
      </c>
      <c r="G5" s="225" t="s">
        <v>1272</v>
      </c>
      <c r="H5" s="225" t="s">
        <v>874</v>
      </c>
      <c r="I5" s="212" t="s">
        <v>5188</v>
      </c>
      <c r="J5" s="226" t="s">
        <v>2024</v>
      </c>
      <c r="K5" s="229" t="s">
        <v>4213</v>
      </c>
      <c r="L5" s="212" t="s">
        <v>4897</v>
      </c>
      <c r="M5" s="212" t="s">
        <v>4577</v>
      </c>
      <c r="N5" s="230" t="s">
        <v>3832</v>
      </c>
    </row>
    <row r="6" spans="1:14">
      <c r="A6" s="225" t="s">
        <v>2</v>
      </c>
      <c r="B6" s="226" t="s">
        <v>215</v>
      </c>
      <c r="C6" s="226" t="s">
        <v>216</v>
      </c>
      <c r="D6" s="226" t="s">
        <v>454</v>
      </c>
      <c r="E6" s="226" t="s">
        <v>578</v>
      </c>
      <c r="F6" s="226" t="s">
        <v>1158</v>
      </c>
      <c r="G6" s="225" t="s">
        <v>1273</v>
      </c>
      <c r="H6" s="225" t="s">
        <v>875</v>
      </c>
      <c r="I6" s="212" t="s">
        <v>5189</v>
      </c>
      <c r="J6" s="226" t="s">
        <v>2025</v>
      </c>
      <c r="K6" s="229" t="s">
        <v>4214</v>
      </c>
      <c r="L6" s="212" t="s">
        <v>4898</v>
      </c>
      <c r="M6" s="212" t="s">
        <v>4214</v>
      </c>
      <c r="N6" s="230" t="s">
        <v>3833</v>
      </c>
    </row>
    <row r="7" spans="1:14">
      <c r="A7" s="225" t="s">
        <v>11</v>
      </c>
      <c r="B7" s="226" t="s">
        <v>217</v>
      </c>
      <c r="C7" s="226" t="s">
        <v>218</v>
      </c>
      <c r="D7" s="226" t="s">
        <v>455</v>
      </c>
      <c r="E7" s="226" t="s">
        <v>11</v>
      </c>
      <c r="F7" s="226" t="s">
        <v>455</v>
      </c>
      <c r="G7" s="225" t="s">
        <v>876</v>
      </c>
      <c r="H7" s="225" t="s">
        <v>876</v>
      </c>
      <c r="I7" s="212" t="s">
        <v>4215</v>
      </c>
      <c r="J7" s="226" t="s">
        <v>2026</v>
      </c>
      <c r="K7" s="229" t="s">
        <v>4215</v>
      </c>
      <c r="L7" s="212" t="s">
        <v>4578</v>
      </c>
      <c r="M7" s="212" t="s">
        <v>4578</v>
      </c>
      <c r="N7" s="230" t="s">
        <v>3834</v>
      </c>
    </row>
    <row r="8" spans="1:14">
      <c r="A8" s="225" t="s">
        <v>3</v>
      </c>
      <c r="B8" s="226" t="s">
        <v>219</v>
      </c>
      <c r="C8" s="226" t="s">
        <v>220</v>
      </c>
      <c r="D8" s="226" t="s">
        <v>456</v>
      </c>
      <c r="E8" s="226" t="s">
        <v>579</v>
      </c>
      <c r="F8" s="226" t="s">
        <v>1159</v>
      </c>
      <c r="G8" s="225" t="s">
        <v>1274</v>
      </c>
      <c r="H8" s="225" t="s">
        <v>877</v>
      </c>
      <c r="I8" s="212" t="s">
        <v>5190</v>
      </c>
      <c r="J8" s="226" t="s">
        <v>2027</v>
      </c>
      <c r="K8" s="229" t="s">
        <v>4216</v>
      </c>
      <c r="L8" s="212" t="s">
        <v>4899</v>
      </c>
      <c r="M8" s="212" t="s">
        <v>4579</v>
      </c>
      <c r="N8" s="230" t="s">
        <v>3835</v>
      </c>
    </row>
    <row r="9" spans="1:14">
      <c r="A9" s="225" t="s">
        <v>4</v>
      </c>
      <c r="B9" s="226" t="s">
        <v>4</v>
      </c>
      <c r="C9" s="226" t="s">
        <v>221</v>
      </c>
      <c r="D9" s="226" t="s">
        <v>457</v>
      </c>
      <c r="E9" s="226" t="s">
        <v>580</v>
      </c>
      <c r="F9" s="226" t="s">
        <v>1160</v>
      </c>
      <c r="G9" s="225" t="s">
        <v>1275</v>
      </c>
      <c r="H9" s="225" t="s">
        <v>878</v>
      </c>
      <c r="I9" s="212" t="s">
        <v>5191</v>
      </c>
      <c r="J9" s="226" t="s">
        <v>2028</v>
      </c>
      <c r="K9" s="229" t="s">
        <v>4217</v>
      </c>
      <c r="L9" s="212" t="s">
        <v>4580</v>
      </c>
      <c r="M9" s="212" t="s">
        <v>4580</v>
      </c>
      <c r="N9" s="230" t="s">
        <v>3836</v>
      </c>
    </row>
    <row r="10" spans="1:14">
      <c r="A10" s="225" t="s">
        <v>5</v>
      </c>
      <c r="B10" s="226" t="s">
        <v>222</v>
      </c>
      <c r="C10" s="226" t="s">
        <v>223</v>
      </c>
      <c r="D10" s="226" t="s">
        <v>458</v>
      </c>
      <c r="E10" s="226" t="s">
        <v>581</v>
      </c>
      <c r="F10" s="226" t="s">
        <v>879</v>
      </c>
      <c r="G10" s="225" t="s">
        <v>1276</v>
      </c>
      <c r="H10" s="225" t="s">
        <v>879</v>
      </c>
      <c r="I10" s="212" t="s">
        <v>5192</v>
      </c>
      <c r="J10" s="226" t="s">
        <v>2029</v>
      </c>
      <c r="K10" s="229" t="s">
        <v>4218</v>
      </c>
      <c r="L10" s="212" t="s">
        <v>4900</v>
      </c>
      <c r="M10" s="212" t="s">
        <v>4581</v>
      </c>
      <c r="N10" s="230" t="s">
        <v>3837</v>
      </c>
    </row>
    <row r="11" spans="1:14">
      <c r="A11" s="225" t="s">
        <v>6</v>
      </c>
      <c r="B11" s="226" t="s">
        <v>224</v>
      </c>
      <c r="C11" s="226" t="s">
        <v>225</v>
      </c>
      <c r="D11" s="226" t="s">
        <v>459</v>
      </c>
      <c r="E11" s="226" t="s">
        <v>582</v>
      </c>
      <c r="F11" s="226" t="s">
        <v>1161</v>
      </c>
      <c r="G11" s="225" t="s">
        <v>1277</v>
      </c>
      <c r="H11" s="225" t="s">
        <v>582</v>
      </c>
      <c r="I11" s="212" t="s">
        <v>5193</v>
      </c>
      <c r="J11" s="226" t="s">
        <v>2030</v>
      </c>
      <c r="K11" s="229" t="s">
        <v>4219</v>
      </c>
      <c r="L11" s="212" t="s">
        <v>4582</v>
      </c>
      <c r="M11" s="212" t="s">
        <v>4582</v>
      </c>
      <c r="N11" s="230" t="s">
        <v>3838</v>
      </c>
    </row>
    <row r="12" spans="1:14">
      <c r="A12" s="225" t="s">
        <v>8</v>
      </c>
      <c r="B12" s="226" t="s">
        <v>226</v>
      </c>
      <c r="C12" s="226" t="s">
        <v>227</v>
      </c>
      <c r="D12" s="226" t="s">
        <v>460</v>
      </c>
      <c r="E12" s="226" t="s">
        <v>583</v>
      </c>
      <c r="F12" s="226" t="s">
        <v>583</v>
      </c>
      <c r="G12" s="225" t="s">
        <v>1278</v>
      </c>
      <c r="H12" s="225" t="s">
        <v>583</v>
      </c>
      <c r="I12" s="212" t="s">
        <v>5194</v>
      </c>
      <c r="J12" s="226" t="s">
        <v>2031</v>
      </c>
      <c r="K12" s="229" t="s">
        <v>4220</v>
      </c>
      <c r="L12" s="212" t="s">
        <v>4220</v>
      </c>
      <c r="M12" s="212" t="s">
        <v>4220</v>
      </c>
      <c r="N12" s="230" t="s">
        <v>3839</v>
      </c>
    </row>
    <row r="13" spans="1:14">
      <c r="A13" s="225" t="s">
        <v>9</v>
      </c>
      <c r="B13" s="226" t="s">
        <v>228</v>
      </c>
      <c r="C13" s="226" t="s">
        <v>229</v>
      </c>
      <c r="D13" s="226" t="s">
        <v>461</v>
      </c>
      <c r="E13" s="226" t="s">
        <v>9</v>
      </c>
      <c r="F13" s="226" t="s">
        <v>9</v>
      </c>
      <c r="G13" s="225" t="s">
        <v>9</v>
      </c>
      <c r="H13" s="225" t="s">
        <v>880</v>
      </c>
      <c r="I13" s="212" t="s">
        <v>5195</v>
      </c>
      <c r="J13" s="226" t="s">
        <v>2032</v>
      </c>
      <c r="K13" s="229" t="s">
        <v>4221</v>
      </c>
      <c r="L13" s="212" t="s">
        <v>4221</v>
      </c>
      <c r="M13" s="212" t="s">
        <v>4221</v>
      </c>
      <c r="N13" s="230" t="s">
        <v>3840</v>
      </c>
    </row>
    <row r="14" spans="1:14">
      <c r="A14" s="225" t="s">
        <v>10</v>
      </c>
      <c r="B14" s="226" t="s">
        <v>230</v>
      </c>
      <c r="C14" s="226" t="s">
        <v>231</v>
      </c>
      <c r="D14" s="226" t="s">
        <v>462</v>
      </c>
      <c r="E14" s="226" t="s">
        <v>584</v>
      </c>
      <c r="F14" s="226" t="s">
        <v>230</v>
      </c>
      <c r="G14" s="225" t="s">
        <v>230</v>
      </c>
      <c r="H14" s="225" t="s">
        <v>584</v>
      </c>
      <c r="I14" s="212" t="s">
        <v>4901</v>
      </c>
      <c r="J14" s="226" t="s">
        <v>2033</v>
      </c>
      <c r="K14" s="229" t="s">
        <v>4222</v>
      </c>
      <c r="L14" s="212" t="s">
        <v>4901</v>
      </c>
      <c r="M14" s="212" t="s">
        <v>4222</v>
      </c>
      <c r="N14" s="230" t="s">
        <v>3841</v>
      </c>
    </row>
    <row r="15" spans="1:14">
      <c r="A15" s="225" t="s">
        <v>7</v>
      </c>
      <c r="B15" s="226" t="s">
        <v>232</v>
      </c>
      <c r="C15" s="226" t="s">
        <v>233</v>
      </c>
      <c r="D15" s="226" t="s">
        <v>463</v>
      </c>
      <c r="E15" s="226" t="s">
        <v>585</v>
      </c>
      <c r="F15" s="226" t="s">
        <v>1162</v>
      </c>
      <c r="G15" s="225" t="s">
        <v>1279</v>
      </c>
      <c r="H15" s="225" t="s">
        <v>881</v>
      </c>
      <c r="I15" s="212" t="s">
        <v>5196</v>
      </c>
      <c r="J15" s="226" t="s">
        <v>2034</v>
      </c>
      <c r="K15" s="229" t="s">
        <v>4223</v>
      </c>
      <c r="L15" s="212" t="s">
        <v>4583</v>
      </c>
      <c r="M15" s="212" t="s">
        <v>4583</v>
      </c>
      <c r="N15" s="230" t="s">
        <v>3842</v>
      </c>
    </row>
    <row r="16" spans="1:14">
      <c r="A16" s="225" t="s">
        <v>4</v>
      </c>
      <c r="B16" s="226" t="s">
        <v>4</v>
      </c>
      <c r="C16" s="226" t="s">
        <v>221</v>
      </c>
      <c r="D16" s="226" t="s">
        <v>457</v>
      </c>
      <c r="E16" s="226" t="s">
        <v>580</v>
      </c>
      <c r="F16" s="226" t="s">
        <v>1160</v>
      </c>
      <c r="G16" s="225" t="s">
        <v>1275</v>
      </c>
      <c r="H16" s="225" t="s">
        <v>878</v>
      </c>
      <c r="I16" s="212" t="s">
        <v>5191</v>
      </c>
      <c r="J16" s="226" t="s">
        <v>2028</v>
      </c>
      <c r="K16" s="229" t="s">
        <v>4217</v>
      </c>
      <c r="L16" s="212" t="s">
        <v>4580</v>
      </c>
      <c r="M16" s="212" t="s">
        <v>4580</v>
      </c>
      <c r="N16" s="230" t="s">
        <v>3836</v>
      </c>
    </row>
    <row r="17" spans="1:14">
      <c r="A17" s="225" t="s">
        <v>12</v>
      </c>
      <c r="B17" s="226" t="s">
        <v>234</v>
      </c>
      <c r="C17" s="226" t="s">
        <v>235</v>
      </c>
      <c r="D17" s="226" t="s">
        <v>464</v>
      </c>
      <c r="E17" s="226" t="s">
        <v>586</v>
      </c>
      <c r="F17" s="226" t="s">
        <v>1163</v>
      </c>
      <c r="G17" s="225" t="s">
        <v>1280</v>
      </c>
      <c r="H17" s="225" t="s">
        <v>882</v>
      </c>
      <c r="I17" s="212" t="s">
        <v>5197</v>
      </c>
      <c r="J17" s="226" t="s">
        <v>2035</v>
      </c>
      <c r="K17" s="229" t="s">
        <v>4224</v>
      </c>
      <c r="L17" s="212" t="s">
        <v>4224</v>
      </c>
      <c r="M17" s="212" t="s">
        <v>4584</v>
      </c>
      <c r="N17" s="230" t="s">
        <v>3843</v>
      </c>
    </row>
    <row r="18" spans="1:14">
      <c r="A18" s="225" t="s">
        <v>5</v>
      </c>
      <c r="B18" s="226" t="s">
        <v>222</v>
      </c>
      <c r="C18" s="226" t="s">
        <v>223</v>
      </c>
      <c r="D18" s="226" t="s">
        <v>458</v>
      </c>
      <c r="E18" s="226" t="s">
        <v>581</v>
      </c>
      <c r="F18" s="226" t="s">
        <v>879</v>
      </c>
      <c r="G18" s="225" t="s">
        <v>1276</v>
      </c>
      <c r="H18" s="225" t="s">
        <v>879</v>
      </c>
      <c r="I18" s="212" t="s">
        <v>5192</v>
      </c>
      <c r="J18" s="226" t="s">
        <v>2036</v>
      </c>
      <c r="K18" s="229" t="s">
        <v>4218</v>
      </c>
      <c r="L18" s="212" t="s">
        <v>4900</v>
      </c>
      <c r="M18" s="212" t="s">
        <v>4581</v>
      </c>
      <c r="N18" s="230" t="s">
        <v>3837</v>
      </c>
    </row>
    <row r="19" spans="1:14">
      <c r="A19" s="225" t="s">
        <v>6</v>
      </c>
      <c r="B19" s="226" t="s">
        <v>224</v>
      </c>
      <c r="C19" s="226" t="s">
        <v>225</v>
      </c>
      <c r="D19" s="226" t="s">
        <v>459</v>
      </c>
      <c r="E19" s="226" t="s">
        <v>582</v>
      </c>
      <c r="F19" s="226" t="s">
        <v>1161</v>
      </c>
      <c r="G19" s="225" t="s">
        <v>1281</v>
      </c>
      <c r="H19" s="225" t="s">
        <v>582</v>
      </c>
      <c r="I19" s="212" t="s">
        <v>5193</v>
      </c>
      <c r="J19" s="226" t="s">
        <v>2030</v>
      </c>
      <c r="K19" s="229" t="s">
        <v>4219</v>
      </c>
      <c r="L19" s="212" t="s">
        <v>4582</v>
      </c>
      <c r="M19" s="212" t="s">
        <v>4582</v>
      </c>
      <c r="N19" s="230" t="s">
        <v>3838</v>
      </c>
    </row>
    <row r="20" spans="1:14">
      <c r="A20" s="225" t="s">
        <v>80</v>
      </c>
      <c r="B20" s="226" t="s">
        <v>236</v>
      </c>
      <c r="C20" s="226" t="s">
        <v>237</v>
      </c>
      <c r="D20" s="226" t="s">
        <v>465</v>
      </c>
      <c r="E20" s="226" t="s">
        <v>587</v>
      </c>
      <c r="F20" s="226" t="s">
        <v>1164</v>
      </c>
      <c r="G20" s="225" t="s">
        <v>1282</v>
      </c>
      <c r="H20" s="225" t="s">
        <v>587</v>
      </c>
      <c r="I20" s="212" t="s">
        <v>5198</v>
      </c>
      <c r="J20" s="226" t="s">
        <v>2037</v>
      </c>
      <c r="K20" s="229" t="s">
        <v>4225</v>
      </c>
      <c r="L20" s="212" t="s">
        <v>4902</v>
      </c>
      <c r="M20" s="212" t="s">
        <v>4585</v>
      </c>
      <c r="N20" s="230" t="s">
        <v>3844</v>
      </c>
    </row>
    <row r="21" spans="1:14">
      <c r="A21" s="225" t="s">
        <v>84</v>
      </c>
      <c r="B21" s="226" t="s">
        <v>84</v>
      </c>
      <c r="C21" s="226" t="s">
        <v>84</v>
      </c>
      <c r="D21" s="226" t="s">
        <v>466</v>
      </c>
      <c r="E21" s="226" t="s">
        <v>588</v>
      </c>
      <c r="F21" s="226" t="s">
        <v>588</v>
      </c>
      <c r="G21" s="225" t="s">
        <v>1283</v>
      </c>
      <c r="H21" s="225" t="s">
        <v>588</v>
      </c>
      <c r="I21" s="212" t="s">
        <v>4586</v>
      </c>
      <c r="J21" s="226" t="s">
        <v>84</v>
      </c>
      <c r="K21" s="229" t="s">
        <v>4226</v>
      </c>
      <c r="L21" s="212" t="s">
        <v>4586</v>
      </c>
      <c r="M21" s="212" t="s">
        <v>4586</v>
      </c>
      <c r="N21" s="230" t="s">
        <v>3845</v>
      </c>
    </row>
    <row r="22" spans="1:14">
      <c r="A22" s="225" t="s">
        <v>85</v>
      </c>
      <c r="B22" s="226" t="s">
        <v>238</v>
      </c>
      <c r="C22" s="226" t="s">
        <v>239</v>
      </c>
      <c r="D22" s="226" t="s">
        <v>467</v>
      </c>
      <c r="E22" s="226" t="s">
        <v>589</v>
      </c>
      <c r="F22" s="226" t="s">
        <v>1165</v>
      </c>
      <c r="G22" s="225" t="s">
        <v>1284</v>
      </c>
      <c r="H22" s="225" t="s">
        <v>589</v>
      </c>
      <c r="I22" s="212" t="s">
        <v>5199</v>
      </c>
      <c r="J22" s="226" t="s">
        <v>2038</v>
      </c>
      <c r="K22" s="229" t="s">
        <v>4227</v>
      </c>
      <c r="L22" s="212" t="s">
        <v>4903</v>
      </c>
      <c r="M22" s="212" t="s">
        <v>4587</v>
      </c>
      <c r="N22" s="230" t="s">
        <v>3846</v>
      </c>
    </row>
    <row r="23" spans="1:14">
      <c r="A23" s="225" t="s">
        <v>203</v>
      </c>
      <c r="B23" s="226" t="s">
        <v>240</v>
      </c>
      <c r="C23" s="226" t="s">
        <v>241</v>
      </c>
      <c r="D23" s="226" t="s">
        <v>468</v>
      </c>
      <c r="E23" s="226" t="s">
        <v>590</v>
      </c>
      <c r="F23" s="226" t="s">
        <v>1166</v>
      </c>
      <c r="G23" s="225" t="s">
        <v>1285</v>
      </c>
      <c r="H23" s="225" t="s">
        <v>883</v>
      </c>
      <c r="I23" s="212" t="s">
        <v>5200</v>
      </c>
      <c r="J23" s="226" t="s">
        <v>2039</v>
      </c>
      <c r="K23" s="229" t="s">
        <v>4228</v>
      </c>
      <c r="L23" s="212" t="s">
        <v>4904</v>
      </c>
      <c r="M23" s="212" t="s">
        <v>4588</v>
      </c>
      <c r="N23" s="230" t="s">
        <v>3847</v>
      </c>
    </row>
    <row r="24" spans="1:14">
      <c r="A24" s="225" t="s">
        <v>16</v>
      </c>
      <c r="B24" s="226" t="s">
        <v>242</v>
      </c>
      <c r="C24" s="226" t="s">
        <v>243</v>
      </c>
      <c r="D24" s="226" t="s">
        <v>469</v>
      </c>
      <c r="E24" s="226" t="s">
        <v>591</v>
      </c>
      <c r="F24" s="226" t="s">
        <v>242</v>
      </c>
      <c r="G24" s="225" t="s">
        <v>1286</v>
      </c>
      <c r="H24" s="225" t="s">
        <v>884</v>
      </c>
      <c r="I24" s="212" t="s">
        <v>5201</v>
      </c>
      <c r="J24" s="226" t="s">
        <v>2040</v>
      </c>
      <c r="K24" s="229" t="s">
        <v>4229</v>
      </c>
      <c r="L24" s="212" t="s">
        <v>4905</v>
      </c>
      <c r="M24" s="212" t="s">
        <v>4589</v>
      </c>
      <c r="N24" s="230" t="s">
        <v>3848</v>
      </c>
    </row>
    <row r="25" spans="1:14">
      <c r="A25" s="225" t="s">
        <v>86</v>
      </c>
      <c r="B25" s="226" t="s">
        <v>244</v>
      </c>
      <c r="C25" s="226" t="s">
        <v>244</v>
      </c>
      <c r="D25" s="226" t="s">
        <v>470</v>
      </c>
      <c r="E25" s="226" t="s">
        <v>592</v>
      </c>
      <c r="F25" s="226" t="s">
        <v>3803</v>
      </c>
      <c r="G25" s="225" t="s">
        <v>1287</v>
      </c>
      <c r="H25" s="225" t="s">
        <v>885</v>
      </c>
      <c r="I25" s="212" t="s">
        <v>5202</v>
      </c>
      <c r="J25" s="226" t="s">
        <v>2041</v>
      </c>
      <c r="K25" s="229" t="s">
        <v>4230</v>
      </c>
      <c r="L25" s="212" t="s">
        <v>4906</v>
      </c>
      <c r="M25" s="212" t="s">
        <v>4590</v>
      </c>
      <c r="N25" s="230" t="s">
        <v>3849</v>
      </c>
    </row>
    <row r="26" spans="1:14">
      <c r="A26" s="225" t="s">
        <v>81</v>
      </c>
      <c r="B26" s="226" t="s">
        <v>245</v>
      </c>
      <c r="C26" s="226" t="s">
        <v>3029</v>
      </c>
      <c r="D26" s="226" t="s">
        <v>471</v>
      </c>
      <c r="E26" s="226" t="s">
        <v>593</v>
      </c>
      <c r="F26" s="226" t="s">
        <v>1168</v>
      </c>
      <c r="G26" s="225" t="s">
        <v>1288</v>
      </c>
      <c r="H26" s="225" t="s">
        <v>886</v>
      </c>
      <c r="I26" s="212" t="s">
        <v>5203</v>
      </c>
      <c r="J26" s="226" t="s">
        <v>2042</v>
      </c>
      <c r="K26" s="229" t="s">
        <v>4231</v>
      </c>
      <c r="L26" s="212" t="s">
        <v>4907</v>
      </c>
      <c r="M26" s="212" t="s">
        <v>4591</v>
      </c>
      <c r="N26" s="230" t="s">
        <v>3850</v>
      </c>
    </row>
    <row r="27" spans="1:14" s="226" customFormat="1">
      <c r="A27" s="226" t="s">
        <v>3540</v>
      </c>
      <c r="B27" s="226" t="s">
        <v>3563</v>
      </c>
      <c r="C27" s="226" t="s">
        <v>3564</v>
      </c>
      <c r="D27" s="226" t="s">
        <v>3565</v>
      </c>
      <c r="E27" s="226" t="s">
        <v>3566</v>
      </c>
      <c r="F27" s="226" t="s">
        <v>3567</v>
      </c>
      <c r="G27" s="226" t="s">
        <v>3568</v>
      </c>
      <c r="H27" s="226" t="s">
        <v>3569</v>
      </c>
      <c r="I27" s="213" t="s">
        <v>5204</v>
      </c>
      <c r="J27" s="226" t="s">
        <v>3570</v>
      </c>
      <c r="K27" s="227" t="s">
        <v>4232</v>
      </c>
      <c r="L27" s="213" t="s">
        <v>4232</v>
      </c>
      <c r="M27" s="213" t="s">
        <v>4232</v>
      </c>
      <c r="N27" s="230" t="s">
        <v>3851</v>
      </c>
    </row>
    <row r="28" spans="1:14" s="226" customFormat="1">
      <c r="A28" s="226" t="s">
        <v>3542</v>
      </c>
      <c r="B28" s="226" t="s">
        <v>3571</v>
      </c>
      <c r="C28" s="226" t="s">
        <v>3571</v>
      </c>
      <c r="D28" s="226" t="s">
        <v>3572</v>
      </c>
      <c r="E28" s="226" t="s">
        <v>3573</v>
      </c>
      <c r="F28" s="226" t="s">
        <v>3574</v>
      </c>
      <c r="G28" s="226" t="s">
        <v>3573</v>
      </c>
      <c r="H28" s="226" t="s">
        <v>3575</v>
      </c>
      <c r="I28" s="213" t="s">
        <v>5205</v>
      </c>
      <c r="J28" s="226" t="s">
        <v>3576</v>
      </c>
      <c r="K28" s="227" t="s">
        <v>4233</v>
      </c>
      <c r="L28" s="213" t="s">
        <v>4908</v>
      </c>
      <c r="M28" s="213" t="s">
        <v>4592</v>
      </c>
      <c r="N28" s="230" t="s">
        <v>3852</v>
      </c>
    </row>
    <row r="29" spans="1:14" s="226" customFormat="1">
      <c r="A29" s="226" t="s">
        <v>3543</v>
      </c>
      <c r="B29" s="226" t="s">
        <v>3577</v>
      </c>
      <c r="C29" s="226" t="s">
        <v>3578</v>
      </c>
      <c r="D29" s="226" t="s">
        <v>3579</v>
      </c>
      <c r="E29" s="226" t="s">
        <v>3580</v>
      </c>
      <c r="F29" s="226" t="s">
        <v>3581</v>
      </c>
      <c r="G29" s="226" t="s">
        <v>3582</v>
      </c>
      <c r="H29" s="226" t="s">
        <v>3583</v>
      </c>
      <c r="I29" s="213" t="s">
        <v>5206</v>
      </c>
      <c r="J29" s="226" t="s">
        <v>3584</v>
      </c>
      <c r="K29" s="227" t="s">
        <v>4234</v>
      </c>
      <c r="L29" s="213" t="s">
        <v>4909</v>
      </c>
      <c r="M29" s="213" t="s">
        <v>4234</v>
      </c>
      <c r="N29" s="230" t="s">
        <v>3853</v>
      </c>
    </row>
    <row r="30" spans="1:14" s="226" customFormat="1">
      <c r="A30" s="226" t="s">
        <v>3541</v>
      </c>
      <c r="B30" s="226" t="s">
        <v>3585</v>
      </c>
      <c r="C30" s="226" t="s">
        <v>3586</v>
      </c>
      <c r="D30" s="226" t="s">
        <v>3587</v>
      </c>
      <c r="E30" s="226" t="s">
        <v>3588</v>
      </c>
      <c r="F30" s="226" t="s">
        <v>3589</v>
      </c>
      <c r="G30" s="226" t="s">
        <v>3590</v>
      </c>
      <c r="H30" s="226" t="s">
        <v>3591</v>
      </c>
      <c r="I30" s="213" t="s">
        <v>5207</v>
      </c>
      <c r="J30" s="226" t="s">
        <v>3592</v>
      </c>
      <c r="K30" s="227" t="s">
        <v>4235</v>
      </c>
      <c r="L30" s="213" t="s">
        <v>4910</v>
      </c>
      <c r="M30" s="213" t="s">
        <v>4593</v>
      </c>
      <c r="N30" s="230" t="s">
        <v>3854</v>
      </c>
    </row>
    <row r="31" spans="1:14" s="226" customFormat="1">
      <c r="A31" s="226" t="s">
        <v>3544</v>
      </c>
      <c r="B31" s="226" t="s">
        <v>3593</v>
      </c>
      <c r="C31" s="226" t="s">
        <v>3594</v>
      </c>
      <c r="D31" s="226" t="s">
        <v>3595</v>
      </c>
      <c r="E31" s="226" t="s">
        <v>3596</v>
      </c>
      <c r="F31" s="226" t="s">
        <v>3597</v>
      </c>
      <c r="G31" s="226" t="s">
        <v>3598</v>
      </c>
      <c r="H31" s="226" t="s">
        <v>3599</v>
      </c>
      <c r="I31" s="213" t="s">
        <v>5208</v>
      </c>
      <c r="J31" s="226" t="s">
        <v>3600</v>
      </c>
      <c r="K31" s="227" t="s">
        <v>4236</v>
      </c>
      <c r="L31" s="213" t="s">
        <v>4911</v>
      </c>
      <c r="M31" s="213" t="s">
        <v>4594</v>
      </c>
      <c r="N31" s="230" t="s">
        <v>3855</v>
      </c>
    </row>
    <row r="32" spans="1:14" s="226" customFormat="1">
      <c r="A32" s="226" t="s">
        <v>3545</v>
      </c>
      <c r="B32" s="226" t="s">
        <v>3601</v>
      </c>
      <c r="C32" s="226" t="s">
        <v>3602</v>
      </c>
      <c r="D32" s="226" t="s">
        <v>3603</v>
      </c>
      <c r="E32" s="226" t="s">
        <v>3604</v>
      </c>
      <c r="F32" s="226" t="s">
        <v>3605</v>
      </c>
      <c r="G32" s="226" t="s">
        <v>3606</v>
      </c>
      <c r="H32" s="226" t="s">
        <v>3607</v>
      </c>
      <c r="I32" s="213" t="s">
        <v>5209</v>
      </c>
      <c r="J32" s="226" t="s">
        <v>3608</v>
      </c>
      <c r="K32" s="227" t="s">
        <v>4237</v>
      </c>
      <c r="L32" s="213" t="s">
        <v>4912</v>
      </c>
      <c r="M32" s="213" t="s">
        <v>4595</v>
      </c>
      <c r="N32" s="230" t="s">
        <v>3856</v>
      </c>
    </row>
    <row r="33" spans="1:14" s="226" customFormat="1">
      <c r="A33" s="226" t="s">
        <v>3546</v>
      </c>
      <c r="B33" s="226" t="s">
        <v>3609</v>
      </c>
      <c r="C33" s="226" t="s">
        <v>3610</v>
      </c>
      <c r="D33" s="226" t="s">
        <v>3611</v>
      </c>
      <c r="E33" s="226" t="s">
        <v>3612</v>
      </c>
      <c r="F33" s="226" t="s">
        <v>3613</v>
      </c>
      <c r="G33" s="226" t="s">
        <v>3614</v>
      </c>
      <c r="H33" s="226" t="s">
        <v>3615</v>
      </c>
      <c r="I33" s="213" t="s">
        <v>5210</v>
      </c>
      <c r="J33" s="226" t="s">
        <v>3616</v>
      </c>
      <c r="K33" s="227" t="s">
        <v>4238</v>
      </c>
      <c r="L33" s="213" t="s">
        <v>4596</v>
      </c>
      <c r="M33" s="213" t="s">
        <v>4596</v>
      </c>
      <c r="N33" s="230" t="s">
        <v>3857</v>
      </c>
    </row>
    <row r="34" spans="1:14" s="226" customFormat="1">
      <c r="A34" s="226" t="s">
        <v>3547</v>
      </c>
      <c r="B34" s="226" t="s">
        <v>3617</v>
      </c>
      <c r="C34" s="226" t="s">
        <v>3618</v>
      </c>
      <c r="D34" s="226" t="s">
        <v>3619</v>
      </c>
      <c r="E34" s="226" t="s">
        <v>3620</v>
      </c>
      <c r="F34" s="226" t="s">
        <v>3621</v>
      </c>
      <c r="G34" s="226" t="s">
        <v>3622</v>
      </c>
      <c r="H34" s="226" t="s">
        <v>3623</v>
      </c>
      <c r="I34" s="213" t="s">
        <v>5211</v>
      </c>
      <c r="J34" s="226" t="s">
        <v>3624</v>
      </c>
      <c r="K34" s="227" t="s">
        <v>4239</v>
      </c>
      <c r="L34" s="213" t="s">
        <v>4913</v>
      </c>
      <c r="M34" s="213" t="s">
        <v>4597</v>
      </c>
      <c r="N34" s="230" t="s">
        <v>3858</v>
      </c>
    </row>
    <row r="35" spans="1:14" s="226" customFormat="1">
      <c r="A35" s="226" t="s">
        <v>3548</v>
      </c>
      <c r="B35" s="226" t="s">
        <v>3625</v>
      </c>
      <c r="C35" s="226" t="s">
        <v>3626</v>
      </c>
      <c r="D35" s="226" t="s">
        <v>3627</v>
      </c>
      <c r="E35" s="226" t="s">
        <v>3628</v>
      </c>
      <c r="F35" s="226" t="s">
        <v>3629</v>
      </c>
      <c r="G35" s="226" t="s">
        <v>3630</v>
      </c>
      <c r="H35" s="226" t="s">
        <v>3631</v>
      </c>
      <c r="I35" s="213" t="s">
        <v>5212</v>
      </c>
      <c r="J35" s="226" t="s">
        <v>3632</v>
      </c>
      <c r="K35" s="227" t="s">
        <v>4240</v>
      </c>
      <c r="L35" s="213" t="s">
        <v>4240</v>
      </c>
      <c r="M35" s="213" t="s">
        <v>4598</v>
      </c>
      <c r="N35" s="230" t="s">
        <v>3859</v>
      </c>
    </row>
    <row r="36" spans="1:14" s="226" customFormat="1">
      <c r="A36" s="226" t="s">
        <v>3009</v>
      </c>
      <c r="B36" s="226" t="s">
        <v>3649</v>
      </c>
      <c r="C36" s="226" t="s">
        <v>3650</v>
      </c>
      <c r="D36" s="226" t="s">
        <v>3651</v>
      </c>
      <c r="E36" s="226" t="s">
        <v>3652</v>
      </c>
      <c r="F36" s="226" t="s">
        <v>3653</v>
      </c>
      <c r="G36" s="226" t="s">
        <v>3654</v>
      </c>
      <c r="H36" s="226" t="s">
        <v>3655</v>
      </c>
      <c r="I36" s="213" t="s">
        <v>5213</v>
      </c>
      <c r="J36" s="226" t="s">
        <v>3656</v>
      </c>
      <c r="K36" s="227" t="s">
        <v>4241</v>
      </c>
      <c r="L36" s="213" t="s">
        <v>4599</v>
      </c>
      <c r="M36" s="213" t="s">
        <v>4599</v>
      </c>
      <c r="N36" s="230" t="s">
        <v>3860</v>
      </c>
    </row>
    <row r="37" spans="1:14">
      <c r="A37" s="225" t="s">
        <v>87</v>
      </c>
      <c r="B37" s="226" t="s">
        <v>246</v>
      </c>
      <c r="C37" s="226" t="s">
        <v>247</v>
      </c>
      <c r="D37" s="226" t="s">
        <v>472</v>
      </c>
      <c r="E37" s="226" t="s">
        <v>594</v>
      </c>
      <c r="F37" s="226" t="s">
        <v>1169</v>
      </c>
      <c r="G37" s="225" t="s">
        <v>1289</v>
      </c>
      <c r="H37" s="225" t="s">
        <v>887</v>
      </c>
      <c r="I37" s="212" t="s">
        <v>5214</v>
      </c>
      <c r="J37" s="226" t="s">
        <v>2043</v>
      </c>
      <c r="K37" s="229" t="s">
        <v>4242</v>
      </c>
      <c r="L37" s="212" t="s">
        <v>4914</v>
      </c>
      <c r="M37" s="212" t="s">
        <v>4600</v>
      </c>
      <c r="N37" s="230" t="s">
        <v>3861</v>
      </c>
    </row>
    <row r="38" spans="1:14">
      <c r="A38" s="225" t="s">
        <v>89</v>
      </c>
      <c r="B38" s="226" t="s">
        <v>248</v>
      </c>
      <c r="C38" s="226" t="s">
        <v>249</v>
      </c>
      <c r="D38" s="226" t="s">
        <v>473</v>
      </c>
      <c r="E38" s="226" t="s">
        <v>593</v>
      </c>
      <c r="F38" s="226" t="s">
        <v>1170</v>
      </c>
      <c r="G38" s="225" t="s">
        <v>1288</v>
      </c>
      <c r="H38" s="225" t="s">
        <v>888</v>
      </c>
      <c r="I38" s="212" t="s">
        <v>5215</v>
      </c>
      <c r="J38" s="226" t="s">
        <v>2042</v>
      </c>
      <c r="K38" s="229" t="s">
        <v>4243</v>
      </c>
      <c r="L38" s="212" t="s">
        <v>4915</v>
      </c>
      <c r="M38" s="212" t="s">
        <v>4601</v>
      </c>
      <c r="N38" s="230" t="s">
        <v>3862</v>
      </c>
    </row>
    <row r="39" spans="1:14">
      <c r="A39" s="225" t="s">
        <v>13</v>
      </c>
      <c r="B39" s="226" t="s">
        <v>250</v>
      </c>
      <c r="C39" s="226" t="s">
        <v>251</v>
      </c>
      <c r="D39" s="226" t="s">
        <v>474</v>
      </c>
      <c r="E39" s="226" t="s">
        <v>595</v>
      </c>
      <c r="F39" s="226" t="s">
        <v>1171</v>
      </c>
      <c r="G39" s="225" t="s">
        <v>1285</v>
      </c>
      <c r="H39" s="225" t="s">
        <v>889</v>
      </c>
      <c r="I39" s="212" t="s">
        <v>5216</v>
      </c>
      <c r="J39" s="226" t="s">
        <v>2039</v>
      </c>
      <c r="K39" s="229" t="s">
        <v>4244</v>
      </c>
      <c r="L39" s="212" t="s">
        <v>4916</v>
      </c>
      <c r="M39" s="212" t="s">
        <v>4602</v>
      </c>
      <c r="N39" s="230" t="s">
        <v>3863</v>
      </c>
    </row>
    <row r="40" spans="1:14">
      <c r="A40" s="225" t="s">
        <v>14</v>
      </c>
      <c r="B40" s="226" t="s">
        <v>252</v>
      </c>
      <c r="C40" s="226" t="s">
        <v>253</v>
      </c>
      <c r="D40" s="226" t="s">
        <v>475</v>
      </c>
      <c r="E40" s="226" t="s">
        <v>596</v>
      </c>
      <c r="F40" s="226" t="s">
        <v>252</v>
      </c>
      <c r="G40" s="225" t="s">
        <v>1290</v>
      </c>
      <c r="H40" s="225" t="s">
        <v>596</v>
      </c>
      <c r="I40" s="212" t="s">
        <v>5217</v>
      </c>
      <c r="J40" s="226" t="s">
        <v>2044</v>
      </c>
      <c r="K40" s="229" t="s">
        <v>4245</v>
      </c>
      <c r="L40" s="212" t="s">
        <v>4917</v>
      </c>
      <c r="M40" s="212" t="s">
        <v>4245</v>
      </c>
      <c r="N40" s="230" t="s">
        <v>3864</v>
      </c>
    </row>
    <row r="41" spans="1:14">
      <c r="A41" s="225" t="s">
        <v>17</v>
      </c>
      <c r="B41" s="226" t="s">
        <v>254</v>
      </c>
      <c r="C41" s="226" t="s">
        <v>255</v>
      </c>
      <c r="D41" s="226" t="s">
        <v>476</v>
      </c>
      <c r="E41" s="226" t="s">
        <v>597</v>
      </c>
      <c r="F41" s="226" t="s">
        <v>1172</v>
      </c>
      <c r="G41" s="225" t="s">
        <v>1291</v>
      </c>
      <c r="H41" s="225" t="s">
        <v>597</v>
      </c>
      <c r="I41" s="212" t="s">
        <v>5218</v>
      </c>
      <c r="J41" s="226" t="s">
        <v>2045</v>
      </c>
      <c r="K41" s="229" t="s">
        <v>4246</v>
      </c>
      <c r="L41" s="212" t="s">
        <v>4918</v>
      </c>
      <c r="M41" s="212" t="s">
        <v>4603</v>
      </c>
      <c r="N41" s="230" t="s">
        <v>3865</v>
      </c>
    </row>
    <row r="42" spans="1:14">
      <c r="A42" s="225" t="s">
        <v>15</v>
      </c>
      <c r="B42" s="226" t="s">
        <v>256</v>
      </c>
      <c r="C42" s="226" t="s">
        <v>257</v>
      </c>
      <c r="D42" s="226" t="s">
        <v>477</v>
      </c>
      <c r="E42" s="226" t="s">
        <v>598</v>
      </c>
      <c r="F42" s="226" t="s">
        <v>1173</v>
      </c>
      <c r="G42" s="225" t="s">
        <v>1292</v>
      </c>
      <c r="H42" s="225" t="s">
        <v>890</v>
      </c>
      <c r="I42" s="212" t="s">
        <v>5219</v>
      </c>
      <c r="J42" s="226" t="s">
        <v>2046</v>
      </c>
      <c r="K42" s="229" t="s">
        <v>4247</v>
      </c>
      <c r="L42" s="212" t="s">
        <v>4604</v>
      </c>
      <c r="M42" s="212" t="s">
        <v>4604</v>
      </c>
      <c r="N42" s="230" t="s">
        <v>3866</v>
      </c>
    </row>
    <row r="43" spans="1:14">
      <c r="A43" s="225" t="s">
        <v>16</v>
      </c>
      <c r="B43" s="226" t="s">
        <v>242</v>
      </c>
      <c r="C43" s="226" t="s">
        <v>243</v>
      </c>
      <c r="D43" s="226" t="s">
        <v>469</v>
      </c>
      <c r="E43" s="226" t="s">
        <v>599</v>
      </c>
      <c r="F43" s="226" t="s">
        <v>242</v>
      </c>
      <c r="G43" s="225" t="s">
        <v>1286</v>
      </c>
      <c r="H43" s="225" t="s">
        <v>891</v>
      </c>
      <c r="I43" s="212" t="s">
        <v>5201</v>
      </c>
      <c r="J43" s="226" t="s">
        <v>2047</v>
      </c>
      <c r="K43" s="229" t="s">
        <v>4229</v>
      </c>
      <c r="L43" s="212" t="s">
        <v>4905</v>
      </c>
      <c r="M43" s="212" t="s">
        <v>4589</v>
      </c>
      <c r="N43" s="230" t="s">
        <v>3848</v>
      </c>
    </row>
    <row r="44" spans="1:14">
      <c r="A44" s="225" t="s">
        <v>18</v>
      </c>
      <c r="B44" s="226" t="s">
        <v>18</v>
      </c>
      <c r="C44" s="226" t="s">
        <v>18</v>
      </c>
      <c r="D44" s="226" t="s">
        <v>478</v>
      </c>
      <c r="E44" s="226" t="s">
        <v>600</v>
      </c>
      <c r="F44" s="226" t="s">
        <v>1174</v>
      </c>
      <c r="G44" s="225" t="s">
        <v>1293</v>
      </c>
      <c r="H44" s="225" t="s">
        <v>892</v>
      </c>
      <c r="I44" s="212" t="s">
        <v>5220</v>
      </c>
      <c r="J44" s="226" t="s">
        <v>2048</v>
      </c>
      <c r="K44" s="229" t="s">
        <v>4248</v>
      </c>
      <c r="L44" s="212" t="s">
        <v>4919</v>
      </c>
      <c r="M44" s="212" t="s">
        <v>4248</v>
      </c>
      <c r="N44" s="230" t="s">
        <v>3867</v>
      </c>
    </row>
    <row r="45" spans="1:14">
      <c r="A45" s="225" t="s">
        <v>19</v>
      </c>
      <c r="B45" s="226" t="s">
        <v>258</v>
      </c>
      <c r="C45" s="226" t="s">
        <v>259</v>
      </c>
      <c r="D45" s="226" t="s">
        <v>479</v>
      </c>
      <c r="E45" s="226" t="s">
        <v>601</v>
      </c>
      <c r="F45" s="226" t="s">
        <v>3364</v>
      </c>
      <c r="G45" s="225" t="s">
        <v>1294</v>
      </c>
      <c r="H45" s="225" t="s">
        <v>893</v>
      </c>
      <c r="I45" s="212" t="s">
        <v>5221</v>
      </c>
      <c r="J45" s="226" t="s">
        <v>2049</v>
      </c>
      <c r="K45" s="229" t="s">
        <v>4249</v>
      </c>
      <c r="L45" s="212" t="s">
        <v>4920</v>
      </c>
      <c r="M45" s="212" t="s">
        <v>4605</v>
      </c>
      <c r="N45" s="230" t="s">
        <v>3868</v>
      </c>
    </row>
    <row r="46" spans="1:14">
      <c r="A46" s="225" t="s">
        <v>82</v>
      </c>
      <c r="B46" s="226" t="s">
        <v>82</v>
      </c>
      <c r="C46" s="226" t="s">
        <v>82</v>
      </c>
      <c r="D46" s="226" t="s">
        <v>82</v>
      </c>
      <c r="E46" s="226" t="s">
        <v>82</v>
      </c>
      <c r="F46" s="226" t="s">
        <v>82</v>
      </c>
      <c r="G46" s="225" t="s">
        <v>82</v>
      </c>
      <c r="H46" s="225" t="s">
        <v>82</v>
      </c>
      <c r="I46" s="212" t="s">
        <v>4250</v>
      </c>
      <c r="J46" s="226" t="s">
        <v>82</v>
      </c>
      <c r="K46" s="229" t="s">
        <v>4250</v>
      </c>
      <c r="L46" s="212" t="s">
        <v>4250</v>
      </c>
      <c r="M46" s="212" t="s">
        <v>4250</v>
      </c>
      <c r="N46" s="230" t="s">
        <v>3869</v>
      </c>
    </row>
    <row r="47" spans="1:14" ht="15.75">
      <c r="A47" s="225" t="s">
        <v>20</v>
      </c>
      <c r="B47" s="226" t="s">
        <v>260</v>
      </c>
      <c r="C47" s="226" t="s">
        <v>260</v>
      </c>
      <c r="D47" s="226" t="s">
        <v>260</v>
      </c>
      <c r="E47" s="226" t="s">
        <v>602</v>
      </c>
      <c r="F47" s="226" t="s">
        <v>260</v>
      </c>
      <c r="G47" s="225" t="s">
        <v>1295</v>
      </c>
      <c r="H47" s="225" t="s">
        <v>602</v>
      </c>
      <c r="I47" s="212" t="s">
        <v>5222</v>
      </c>
      <c r="J47" s="226" t="s">
        <v>2050</v>
      </c>
      <c r="K47" s="229" t="s">
        <v>4251</v>
      </c>
      <c r="L47" s="212" t="s">
        <v>4921</v>
      </c>
      <c r="M47" s="212" t="s">
        <v>4606</v>
      </c>
      <c r="N47" s="230" t="s">
        <v>3870</v>
      </c>
    </row>
    <row r="48" spans="1:14">
      <c r="A48" s="225" t="s">
        <v>86</v>
      </c>
      <c r="B48" s="226" t="s">
        <v>244</v>
      </c>
      <c r="C48" s="226" t="s">
        <v>244</v>
      </c>
      <c r="D48" s="226" t="s">
        <v>480</v>
      </c>
      <c r="E48" s="226" t="s">
        <v>603</v>
      </c>
      <c r="F48" s="226" t="s">
        <v>1167</v>
      </c>
      <c r="G48" s="225" t="s">
        <v>1287</v>
      </c>
      <c r="H48" s="225" t="s">
        <v>603</v>
      </c>
      <c r="I48" s="212" t="s">
        <v>5202</v>
      </c>
      <c r="J48" s="226" t="s">
        <v>2051</v>
      </c>
      <c r="K48" s="229" t="s">
        <v>4230</v>
      </c>
      <c r="L48" s="212" t="s">
        <v>4906</v>
      </c>
      <c r="M48" s="212" t="s">
        <v>4590</v>
      </c>
      <c r="N48" s="230" t="s">
        <v>3849</v>
      </c>
    </row>
    <row r="49" spans="1:14">
      <c r="A49" s="225" t="s">
        <v>21</v>
      </c>
      <c r="B49" s="226" t="s">
        <v>261</v>
      </c>
      <c r="C49" s="226" t="s">
        <v>262</v>
      </c>
      <c r="D49" s="226" t="s">
        <v>481</v>
      </c>
      <c r="E49" s="226" t="s">
        <v>604</v>
      </c>
      <c r="F49" s="226" t="s">
        <v>3804</v>
      </c>
      <c r="G49" s="225" t="s">
        <v>1296</v>
      </c>
      <c r="H49" s="225" t="s">
        <v>894</v>
      </c>
      <c r="I49" s="212" t="s">
        <v>5223</v>
      </c>
      <c r="J49" s="226" t="s">
        <v>2052</v>
      </c>
      <c r="K49" s="229" t="s">
        <v>4252</v>
      </c>
      <c r="L49" s="212" t="s">
        <v>4922</v>
      </c>
      <c r="M49" s="212" t="s">
        <v>4607</v>
      </c>
      <c r="N49" s="230" t="s">
        <v>3871</v>
      </c>
    </row>
    <row r="50" spans="1:14">
      <c r="A50" s="225" t="s">
        <v>22</v>
      </c>
      <c r="B50" s="226" t="s">
        <v>22</v>
      </c>
      <c r="C50" s="226" t="s">
        <v>22</v>
      </c>
      <c r="D50" s="226" t="s">
        <v>482</v>
      </c>
      <c r="E50" s="226" t="s">
        <v>22</v>
      </c>
      <c r="F50" s="226" t="s">
        <v>22</v>
      </c>
      <c r="G50" s="225" t="s">
        <v>22</v>
      </c>
      <c r="H50" s="225" t="s">
        <v>22</v>
      </c>
      <c r="I50" s="212" t="s">
        <v>4253</v>
      </c>
      <c r="J50" s="226" t="s">
        <v>22</v>
      </c>
      <c r="K50" s="229" t="s">
        <v>4253</v>
      </c>
      <c r="L50" s="212" t="s">
        <v>4253</v>
      </c>
      <c r="M50" s="212" t="s">
        <v>4253</v>
      </c>
      <c r="N50" s="230" t="s">
        <v>3872</v>
      </c>
    </row>
    <row r="51" spans="1:14">
      <c r="A51" s="225" t="s">
        <v>42</v>
      </c>
      <c r="B51" s="226" t="s">
        <v>263</v>
      </c>
      <c r="C51" s="226" t="s">
        <v>264</v>
      </c>
      <c r="D51" s="226" t="s">
        <v>483</v>
      </c>
      <c r="E51" s="226" t="s">
        <v>605</v>
      </c>
      <c r="F51" s="226" t="s">
        <v>3804</v>
      </c>
      <c r="G51" s="225" t="s">
        <v>1297</v>
      </c>
      <c r="H51" s="225" t="s">
        <v>895</v>
      </c>
      <c r="I51" s="212" t="s">
        <v>5224</v>
      </c>
      <c r="J51" s="226" t="s">
        <v>2053</v>
      </c>
      <c r="K51" s="229" t="s">
        <v>4254</v>
      </c>
      <c r="L51" s="212" t="s">
        <v>4923</v>
      </c>
      <c r="M51" s="212" t="s">
        <v>4608</v>
      </c>
      <c r="N51" s="230" t="s">
        <v>3873</v>
      </c>
    </row>
    <row r="52" spans="1:14">
      <c r="A52" s="225" t="s">
        <v>43</v>
      </c>
      <c r="B52" s="226" t="s">
        <v>265</v>
      </c>
      <c r="C52" s="226" t="s">
        <v>265</v>
      </c>
      <c r="D52" s="226" t="s">
        <v>484</v>
      </c>
      <c r="E52" s="226" t="s">
        <v>606</v>
      </c>
      <c r="F52" s="226" t="s">
        <v>3804</v>
      </c>
      <c r="G52" s="225" t="s">
        <v>1290</v>
      </c>
      <c r="H52" s="225" t="s">
        <v>606</v>
      </c>
      <c r="I52" s="212" t="s">
        <v>5225</v>
      </c>
      <c r="J52" s="226" t="s">
        <v>2054</v>
      </c>
      <c r="K52" s="229" t="s">
        <v>4255</v>
      </c>
      <c r="L52" s="212" t="s">
        <v>4924</v>
      </c>
      <c r="M52" s="212" t="s">
        <v>4609</v>
      </c>
      <c r="N52" s="230" t="s">
        <v>3874</v>
      </c>
    </row>
    <row r="53" spans="1:14">
      <c r="A53" s="225" t="s">
        <v>44</v>
      </c>
      <c r="B53" s="226" t="s">
        <v>266</v>
      </c>
      <c r="C53" s="226" t="s">
        <v>267</v>
      </c>
      <c r="D53" s="226" t="s">
        <v>485</v>
      </c>
      <c r="E53" s="226" t="s">
        <v>607</v>
      </c>
      <c r="F53" s="226" t="s">
        <v>1175</v>
      </c>
      <c r="G53" s="225" t="s">
        <v>1298</v>
      </c>
      <c r="H53" s="225" t="s">
        <v>896</v>
      </c>
      <c r="I53" s="212" t="s">
        <v>5226</v>
      </c>
      <c r="J53" s="226" t="s">
        <v>2055</v>
      </c>
      <c r="K53" s="229" t="s">
        <v>4256</v>
      </c>
      <c r="L53" s="212" t="s">
        <v>4925</v>
      </c>
      <c r="M53" s="212" t="s">
        <v>4610</v>
      </c>
      <c r="N53" s="230" t="s">
        <v>3875</v>
      </c>
    </row>
    <row r="54" spans="1:14">
      <c r="A54" s="225" t="s">
        <v>197</v>
      </c>
      <c r="B54" s="226" t="s">
        <v>268</v>
      </c>
      <c r="C54" s="226" t="s">
        <v>269</v>
      </c>
      <c r="D54" s="226" t="s">
        <v>486</v>
      </c>
      <c r="E54" s="226" t="s">
        <v>608</v>
      </c>
      <c r="F54" s="226" t="s">
        <v>1176</v>
      </c>
      <c r="G54" s="225" t="s">
        <v>1299</v>
      </c>
      <c r="H54" s="225" t="s">
        <v>897</v>
      </c>
      <c r="I54" s="212" t="s">
        <v>5227</v>
      </c>
      <c r="J54" s="226" t="s">
        <v>2056</v>
      </c>
      <c r="K54" s="229" t="s">
        <v>4257</v>
      </c>
      <c r="L54" s="212" t="s">
        <v>4611</v>
      </c>
      <c r="M54" s="212" t="s">
        <v>4611</v>
      </c>
      <c r="N54" s="230" t="s">
        <v>3876</v>
      </c>
    </row>
    <row r="55" spans="1:14">
      <c r="A55" s="225" t="s">
        <v>198</v>
      </c>
      <c r="B55" s="226" t="s">
        <v>270</v>
      </c>
      <c r="C55" s="226" t="s">
        <v>271</v>
      </c>
      <c r="D55" s="226" t="s">
        <v>487</v>
      </c>
      <c r="E55" s="226" t="s">
        <v>609</v>
      </c>
      <c r="F55" s="226" t="s">
        <v>1177</v>
      </c>
      <c r="G55" s="225" t="s">
        <v>1300</v>
      </c>
      <c r="H55" s="225" t="s">
        <v>898</v>
      </c>
      <c r="I55" s="212" t="s">
        <v>5228</v>
      </c>
      <c r="J55" s="226" t="s">
        <v>2057</v>
      </c>
      <c r="K55" s="229" t="s">
        <v>4258</v>
      </c>
      <c r="L55" s="212" t="s">
        <v>4926</v>
      </c>
      <c r="M55" s="212" t="s">
        <v>4612</v>
      </c>
      <c r="N55" s="230" t="s">
        <v>3877</v>
      </c>
    </row>
    <row r="56" spans="1:14">
      <c r="A56" s="225" t="s">
        <v>23</v>
      </c>
      <c r="B56" s="226" t="s">
        <v>272</v>
      </c>
      <c r="C56" s="226" t="s">
        <v>273</v>
      </c>
      <c r="D56" s="226" t="s">
        <v>488</v>
      </c>
      <c r="E56" s="226" t="s">
        <v>610</v>
      </c>
      <c r="F56" s="226" t="s">
        <v>1178</v>
      </c>
      <c r="G56" s="225" t="s">
        <v>1301</v>
      </c>
      <c r="H56" s="225" t="s">
        <v>899</v>
      </c>
      <c r="I56" s="212" t="s">
        <v>5229</v>
      </c>
      <c r="J56" s="226" t="s">
        <v>2058</v>
      </c>
      <c r="K56" s="229" t="s">
        <v>4259</v>
      </c>
      <c r="L56" s="212" t="s">
        <v>4927</v>
      </c>
      <c r="M56" s="212" t="s">
        <v>4613</v>
      </c>
      <c r="N56" s="230" t="s">
        <v>3878</v>
      </c>
    </row>
    <row r="57" spans="1:14">
      <c r="A57" s="225" t="s">
        <v>24</v>
      </c>
      <c r="B57" s="226" t="s">
        <v>274</v>
      </c>
      <c r="C57" s="226" t="s">
        <v>275</v>
      </c>
      <c r="D57" s="226" t="s">
        <v>489</v>
      </c>
      <c r="E57" s="226" t="s">
        <v>611</v>
      </c>
      <c r="F57" s="226" t="s">
        <v>1179</v>
      </c>
      <c r="G57" s="225" t="s">
        <v>1302</v>
      </c>
      <c r="H57" s="225" t="s">
        <v>900</v>
      </c>
      <c r="I57" s="212" t="s">
        <v>5230</v>
      </c>
      <c r="J57" s="226" t="s">
        <v>2059</v>
      </c>
      <c r="K57" s="229" t="s">
        <v>4260</v>
      </c>
      <c r="L57" s="212" t="s">
        <v>4928</v>
      </c>
      <c r="M57" s="212" t="s">
        <v>4614</v>
      </c>
      <c r="N57" s="230" t="s">
        <v>3879</v>
      </c>
    </row>
    <row r="58" spans="1:14">
      <c r="A58" s="225" t="s">
        <v>25</v>
      </c>
      <c r="B58" s="226" t="s">
        <v>276</v>
      </c>
      <c r="C58" s="226" t="s">
        <v>277</v>
      </c>
      <c r="D58" s="226" t="s">
        <v>490</v>
      </c>
      <c r="E58" s="226" t="s">
        <v>612</v>
      </c>
      <c r="F58" s="226" t="s">
        <v>1180</v>
      </c>
      <c r="G58" s="225" t="s">
        <v>1303</v>
      </c>
      <c r="H58" s="225" t="s">
        <v>901</v>
      </c>
      <c r="I58" s="212" t="s">
        <v>5231</v>
      </c>
      <c r="J58" s="226" t="s">
        <v>2060</v>
      </c>
      <c r="K58" s="229" t="s">
        <v>4261</v>
      </c>
      <c r="L58" s="212" t="s">
        <v>4929</v>
      </c>
      <c r="M58" s="212" t="s">
        <v>4615</v>
      </c>
      <c r="N58" s="230" t="s">
        <v>3880</v>
      </c>
    </row>
    <row r="59" spans="1:14">
      <c r="A59" s="225" t="s">
        <v>26</v>
      </c>
      <c r="B59" s="226" t="s">
        <v>278</v>
      </c>
      <c r="C59" s="226" t="s">
        <v>279</v>
      </c>
      <c r="D59" s="226" t="s">
        <v>491</v>
      </c>
      <c r="E59" s="226" t="s">
        <v>613</v>
      </c>
      <c r="F59" s="226" t="s">
        <v>1181</v>
      </c>
      <c r="G59" s="225" t="s">
        <v>1304</v>
      </c>
      <c r="H59" s="225" t="s">
        <v>902</v>
      </c>
      <c r="I59" s="212" t="s">
        <v>5232</v>
      </c>
      <c r="J59" s="226" t="s">
        <v>2061</v>
      </c>
      <c r="K59" s="229" t="s">
        <v>4262</v>
      </c>
      <c r="L59" s="212" t="s">
        <v>4930</v>
      </c>
      <c r="M59" s="212" t="s">
        <v>4616</v>
      </c>
      <c r="N59" s="230" t="s">
        <v>3881</v>
      </c>
    </row>
    <row r="60" spans="1:14">
      <c r="A60" s="225" t="s">
        <v>27</v>
      </c>
      <c r="B60" s="226" t="s">
        <v>280</v>
      </c>
      <c r="C60" s="226" t="s">
        <v>281</v>
      </c>
      <c r="D60" s="226" t="s">
        <v>492</v>
      </c>
      <c r="E60" s="226" t="s">
        <v>614</v>
      </c>
      <c r="F60" s="226" t="s">
        <v>1182</v>
      </c>
      <c r="G60" s="231" t="s">
        <v>1305</v>
      </c>
      <c r="H60" s="225" t="s">
        <v>903</v>
      </c>
      <c r="I60" s="212" t="s">
        <v>5233</v>
      </c>
      <c r="J60" s="226" t="s">
        <v>2062</v>
      </c>
      <c r="K60" s="229" t="s">
        <v>4263</v>
      </c>
      <c r="L60" s="212" t="s">
        <v>4931</v>
      </c>
      <c r="M60" s="212" t="s">
        <v>4617</v>
      </c>
      <c r="N60" s="230" t="s">
        <v>3882</v>
      </c>
    </row>
    <row r="61" spans="1:14">
      <c r="A61" s="233" t="s">
        <v>83</v>
      </c>
      <c r="B61" s="226" t="s">
        <v>282</v>
      </c>
      <c r="C61" s="226" t="s">
        <v>283</v>
      </c>
      <c r="D61" s="226" t="s">
        <v>493</v>
      </c>
      <c r="E61" s="226" t="s">
        <v>615</v>
      </c>
      <c r="F61" s="226" t="s">
        <v>1183</v>
      </c>
      <c r="G61" s="225" t="s">
        <v>1306</v>
      </c>
      <c r="H61" s="225" t="s">
        <v>904</v>
      </c>
      <c r="I61" s="214" t="s">
        <v>5234</v>
      </c>
      <c r="J61" s="226" t="s">
        <v>2063</v>
      </c>
      <c r="K61" s="234" t="s">
        <v>4264</v>
      </c>
      <c r="L61" s="214" t="s">
        <v>4932</v>
      </c>
      <c r="M61" s="214" t="s">
        <v>4618</v>
      </c>
      <c r="N61" s="230" t="s">
        <v>3883</v>
      </c>
    </row>
    <row r="62" spans="1:14">
      <c r="A62" s="233" t="s">
        <v>208</v>
      </c>
      <c r="B62" s="235" t="s">
        <v>5512</v>
      </c>
      <c r="C62" s="235" t="s">
        <v>840</v>
      </c>
      <c r="D62" s="233" t="s">
        <v>494</v>
      </c>
      <c r="E62" s="233" t="s">
        <v>616</v>
      </c>
      <c r="F62" s="226" t="s">
        <v>1184</v>
      </c>
      <c r="G62" s="235" t="s">
        <v>1307</v>
      </c>
      <c r="H62" s="225" t="s">
        <v>905</v>
      </c>
      <c r="I62" s="214" t="s">
        <v>5235</v>
      </c>
      <c r="J62" s="226" t="s">
        <v>2064</v>
      </c>
      <c r="K62" s="234" t="s">
        <v>4265</v>
      </c>
      <c r="L62" s="214" t="s">
        <v>4933</v>
      </c>
      <c r="M62" s="214" t="s">
        <v>4619</v>
      </c>
      <c r="N62" s="230" t="s">
        <v>3884</v>
      </c>
    </row>
    <row r="63" spans="1:14">
      <c r="A63" s="233" t="s">
        <v>201</v>
      </c>
      <c r="B63" s="235" t="s">
        <v>201</v>
      </c>
      <c r="C63" s="235" t="s">
        <v>284</v>
      </c>
      <c r="D63" s="233" t="s">
        <v>495</v>
      </c>
      <c r="E63" s="233" t="s">
        <v>3030</v>
      </c>
      <c r="F63" s="226" t="s">
        <v>1185</v>
      </c>
      <c r="G63" s="235" t="s">
        <v>1308</v>
      </c>
      <c r="H63" s="225" t="s">
        <v>201</v>
      </c>
      <c r="I63" s="214" t="s">
        <v>4266</v>
      </c>
      <c r="J63" s="226" t="s">
        <v>2065</v>
      </c>
      <c r="K63" s="234" t="s">
        <v>4266</v>
      </c>
      <c r="L63" s="214" t="s">
        <v>4266</v>
      </c>
      <c r="M63" s="214" t="s">
        <v>4266</v>
      </c>
      <c r="N63" s="230" t="s">
        <v>3885</v>
      </c>
    </row>
    <row r="64" spans="1:14">
      <c r="A64" s="233" t="s">
        <v>207</v>
      </c>
      <c r="B64" s="235" t="s">
        <v>285</v>
      </c>
      <c r="C64" s="235" t="s">
        <v>286</v>
      </c>
      <c r="D64" s="233" t="s">
        <v>496</v>
      </c>
      <c r="E64" s="233" t="s">
        <v>617</v>
      </c>
      <c r="F64" s="226" t="s">
        <v>1186</v>
      </c>
      <c r="G64" s="235" t="s">
        <v>1309</v>
      </c>
      <c r="H64" s="225" t="s">
        <v>617</v>
      </c>
      <c r="I64" s="214" t="s">
        <v>5236</v>
      </c>
      <c r="J64" s="226" t="s">
        <v>2066</v>
      </c>
      <c r="K64" s="234" t="s">
        <v>4267</v>
      </c>
      <c r="L64" s="214" t="s">
        <v>4620</v>
      </c>
      <c r="M64" s="214" t="s">
        <v>4620</v>
      </c>
      <c r="N64" s="230" t="s">
        <v>3886</v>
      </c>
    </row>
    <row r="65" spans="1:14">
      <c r="A65" s="233" t="s">
        <v>202</v>
      </c>
      <c r="B65" s="235" t="s">
        <v>202</v>
      </c>
      <c r="C65" s="235" t="s">
        <v>287</v>
      </c>
      <c r="D65" s="233" t="s">
        <v>497</v>
      </c>
      <c r="E65" s="233" t="s">
        <v>209</v>
      </c>
      <c r="F65" s="226" t="s">
        <v>1187</v>
      </c>
      <c r="G65" s="235" t="s">
        <v>1310</v>
      </c>
      <c r="H65" s="225" t="s">
        <v>906</v>
      </c>
      <c r="I65" s="214" t="s">
        <v>4268</v>
      </c>
      <c r="J65" s="226" t="s">
        <v>2067</v>
      </c>
      <c r="K65" s="234" t="s">
        <v>4268</v>
      </c>
      <c r="L65" s="214" t="s">
        <v>4268</v>
      </c>
      <c r="M65" s="214" t="s">
        <v>4268</v>
      </c>
      <c r="N65" s="230" t="s">
        <v>3887</v>
      </c>
    </row>
    <row r="66" spans="1:14">
      <c r="A66" s="233" t="s">
        <v>200</v>
      </c>
      <c r="B66" s="235" t="s">
        <v>288</v>
      </c>
      <c r="C66" s="235" t="s">
        <v>289</v>
      </c>
      <c r="D66" s="233" t="s">
        <v>498</v>
      </c>
      <c r="E66" s="233" t="s">
        <v>618</v>
      </c>
      <c r="F66" s="226" t="s">
        <v>1188</v>
      </c>
      <c r="G66" s="235" t="s">
        <v>1311</v>
      </c>
      <c r="H66" s="225" t="s">
        <v>907</v>
      </c>
      <c r="I66" s="214" t="s">
        <v>5237</v>
      </c>
      <c r="J66" s="226" t="s">
        <v>2068</v>
      </c>
      <c r="K66" s="234" t="s">
        <v>4269</v>
      </c>
      <c r="L66" s="214" t="s">
        <v>4934</v>
      </c>
      <c r="M66" s="214" t="s">
        <v>4621</v>
      </c>
      <c r="N66" s="230" t="s">
        <v>3888</v>
      </c>
    </row>
    <row r="67" spans="1:14">
      <c r="A67" s="233" t="s">
        <v>199</v>
      </c>
      <c r="B67" s="235" t="s">
        <v>290</v>
      </c>
      <c r="C67" s="235" t="s">
        <v>291</v>
      </c>
      <c r="D67" s="233" t="s">
        <v>499</v>
      </c>
      <c r="E67" s="233" t="s">
        <v>619</v>
      </c>
      <c r="F67" s="226" t="s">
        <v>1189</v>
      </c>
      <c r="G67" s="235" t="s">
        <v>1312</v>
      </c>
      <c r="H67" s="225" t="s">
        <v>908</v>
      </c>
      <c r="I67" s="214" t="s">
        <v>5238</v>
      </c>
      <c r="J67" s="226" t="s">
        <v>2069</v>
      </c>
      <c r="K67" s="234" t="s">
        <v>4270</v>
      </c>
      <c r="L67" s="214" t="s">
        <v>4935</v>
      </c>
      <c r="M67" s="214" t="s">
        <v>4622</v>
      </c>
      <c r="N67" s="230" t="s">
        <v>3889</v>
      </c>
    </row>
    <row r="68" spans="1:14">
      <c r="A68" s="233" t="s">
        <v>93</v>
      </c>
      <c r="B68" s="235" t="s">
        <v>292</v>
      </c>
      <c r="C68" s="235" t="s">
        <v>293</v>
      </c>
      <c r="D68" s="233" t="s">
        <v>500</v>
      </c>
      <c r="E68" s="233" t="s">
        <v>620</v>
      </c>
      <c r="F68" s="226" t="s">
        <v>3365</v>
      </c>
      <c r="G68" s="235" t="s">
        <v>1313</v>
      </c>
      <c r="H68" s="225" t="s">
        <v>909</v>
      </c>
      <c r="I68" s="214" t="s">
        <v>5239</v>
      </c>
      <c r="J68" s="226" t="s">
        <v>2070</v>
      </c>
      <c r="K68" s="234" t="s">
        <v>4271</v>
      </c>
      <c r="L68" s="214" t="s">
        <v>4936</v>
      </c>
      <c r="M68" s="214" t="s">
        <v>4623</v>
      </c>
      <c r="N68" s="230" t="s">
        <v>3890</v>
      </c>
    </row>
    <row r="69" spans="1:14">
      <c r="A69" s="233" t="s">
        <v>95</v>
      </c>
      <c r="B69" s="235" t="s">
        <v>294</v>
      </c>
      <c r="C69" s="235" t="s">
        <v>295</v>
      </c>
      <c r="D69" s="233" t="s">
        <v>501</v>
      </c>
      <c r="E69" s="233" t="s">
        <v>621</v>
      </c>
      <c r="F69" s="226" t="s">
        <v>1190</v>
      </c>
      <c r="G69" s="233" t="s">
        <v>1314</v>
      </c>
      <c r="H69" s="225" t="s">
        <v>910</v>
      </c>
      <c r="I69" s="214" t="s">
        <v>5240</v>
      </c>
      <c r="J69" s="233" t="s">
        <v>2071</v>
      </c>
      <c r="K69" s="234" t="s">
        <v>4272</v>
      </c>
      <c r="L69" s="214" t="s">
        <v>4937</v>
      </c>
      <c r="M69" s="214" t="s">
        <v>4624</v>
      </c>
      <c r="N69" s="230" t="s">
        <v>3891</v>
      </c>
    </row>
    <row r="70" spans="1:14">
      <c r="A70" s="236" t="s">
        <v>96</v>
      </c>
      <c r="B70" s="237" t="s">
        <v>296</v>
      </c>
      <c r="C70" s="237" t="s">
        <v>297</v>
      </c>
      <c r="D70" s="236" t="s">
        <v>502</v>
      </c>
      <c r="E70" s="236" t="s">
        <v>622</v>
      </c>
      <c r="F70" s="226" t="s">
        <v>1191</v>
      </c>
      <c r="G70" s="236" t="s">
        <v>1315</v>
      </c>
      <c r="H70" s="225" t="s">
        <v>911</v>
      </c>
      <c r="I70" s="214" t="s">
        <v>5241</v>
      </c>
      <c r="J70" s="236" t="s">
        <v>2072</v>
      </c>
      <c r="K70" s="234" t="s">
        <v>4273</v>
      </c>
      <c r="L70" s="214" t="s">
        <v>4938</v>
      </c>
      <c r="M70" s="214" t="s">
        <v>4625</v>
      </c>
      <c r="N70" s="230" t="s">
        <v>3892</v>
      </c>
    </row>
    <row r="71" spans="1:14">
      <c r="A71" s="233" t="s">
        <v>97</v>
      </c>
      <c r="B71" s="235" t="s">
        <v>298</v>
      </c>
      <c r="C71" s="235" t="s">
        <v>299</v>
      </c>
      <c r="D71" s="233" t="s">
        <v>503</v>
      </c>
      <c r="E71" s="233" t="s">
        <v>623</v>
      </c>
      <c r="F71" s="226" t="s">
        <v>1192</v>
      </c>
      <c r="G71" s="233" t="s">
        <v>1316</v>
      </c>
      <c r="H71" s="225" t="s">
        <v>912</v>
      </c>
      <c r="I71" s="214" t="s">
        <v>5242</v>
      </c>
      <c r="J71" s="233" t="s">
        <v>2073</v>
      </c>
      <c r="K71" s="234" t="s">
        <v>4274</v>
      </c>
      <c r="L71" s="214" t="s">
        <v>4939</v>
      </c>
      <c r="M71" s="214" t="s">
        <v>4626</v>
      </c>
      <c r="N71" s="230" t="s">
        <v>3893</v>
      </c>
    </row>
    <row r="72" spans="1:14">
      <c r="A72" s="233" t="s">
        <v>94</v>
      </c>
      <c r="B72" s="235" t="s">
        <v>300</v>
      </c>
      <c r="C72" s="235" t="s">
        <v>301</v>
      </c>
      <c r="D72" s="233" t="s">
        <v>504</v>
      </c>
      <c r="E72" s="233" t="s">
        <v>624</v>
      </c>
      <c r="F72" s="226" t="s">
        <v>3366</v>
      </c>
      <c r="G72" s="233" t="s">
        <v>1317</v>
      </c>
      <c r="H72" s="225" t="s">
        <v>913</v>
      </c>
      <c r="I72" s="214" t="s">
        <v>5243</v>
      </c>
      <c r="J72" s="233" t="s">
        <v>2074</v>
      </c>
      <c r="K72" s="234" t="s">
        <v>4275</v>
      </c>
      <c r="L72" s="214" t="s">
        <v>4940</v>
      </c>
      <c r="M72" s="214" t="s">
        <v>4627</v>
      </c>
      <c r="N72" s="230" t="s">
        <v>3894</v>
      </c>
    </row>
    <row r="73" spans="1:14">
      <c r="A73" s="238" t="s">
        <v>90</v>
      </c>
      <c r="B73" s="235" t="s">
        <v>302</v>
      </c>
      <c r="C73" s="235" t="s">
        <v>303</v>
      </c>
      <c r="D73" s="233" t="s">
        <v>505</v>
      </c>
      <c r="E73" s="233" t="s">
        <v>625</v>
      </c>
      <c r="F73" s="226" t="s">
        <v>1193</v>
      </c>
      <c r="G73" s="233" t="s">
        <v>1318</v>
      </c>
      <c r="H73" s="225" t="s">
        <v>914</v>
      </c>
      <c r="I73" s="215" t="s">
        <v>5244</v>
      </c>
      <c r="J73" s="233" t="s">
        <v>2075</v>
      </c>
      <c r="K73" s="239" t="s">
        <v>4276</v>
      </c>
      <c r="L73" s="215" t="s">
        <v>4941</v>
      </c>
      <c r="M73" s="215" t="s">
        <v>4628</v>
      </c>
      <c r="N73" s="230" t="s">
        <v>3895</v>
      </c>
    </row>
    <row r="74" spans="1:14">
      <c r="A74" s="238" t="s">
        <v>91</v>
      </c>
      <c r="B74" s="235" t="s">
        <v>304</v>
      </c>
      <c r="C74" s="235" t="s">
        <v>305</v>
      </c>
      <c r="D74" s="233" t="s">
        <v>506</v>
      </c>
      <c r="E74" s="233" t="s">
        <v>626</v>
      </c>
      <c r="F74" s="226" t="s">
        <v>1194</v>
      </c>
      <c r="G74" s="233" t="s">
        <v>1319</v>
      </c>
      <c r="H74" s="225" t="s">
        <v>915</v>
      </c>
      <c r="I74" s="215" t="s">
        <v>5245</v>
      </c>
      <c r="J74" s="233" t="s">
        <v>2076</v>
      </c>
      <c r="K74" s="239" t="s">
        <v>4277</v>
      </c>
      <c r="L74" s="215" t="s">
        <v>4942</v>
      </c>
      <c r="M74" s="215" t="s">
        <v>4629</v>
      </c>
      <c r="N74" s="230" t="s">
        <v>3896</v>
      </c>
    </row>
    <row r="75" spans="1:14">
      <c r="A75" s="233" t="s">
        <v>92</v>
      </c>
      <c r="B75" s="235" t="s">
        <v>306</v>
      </c>
      <c r="C75" s="235" t="s">
        <v>307</v>
      </c>
      <c r="D75" s="233" t="s">
        <v>507</v>
      </c>
      <c r="E75" s="233" t="s">
        <v>627</v>
      </c>
      <c r="F75" s="226" t="s">
        <v>1195</v>
      </c>
      <c r="G75" s="233" t="s">
        <v>1320</v>
      </c>
      <c r="H75" s="225" t="s">
        <v>916</v>
      </c>
      <c r="I75" s="214" t="s">
        <v>5246</v>
      </c>
      <c r="J75" s="233" t="s">
        <v>2077</v>
      </c>
      <c r="K75" s="234" t="s">
        <v>4278</v>
      </c>
      <c r="L75" s="214" t="s">
        <v>4943</v>
      </c>
      <c r="M75" s="214" t="s">
        <v>4630</v>
      </c>
      <c r="N75" s="230" t="s">
        <v>3897</v>
      </c>
    </row>
    <row r="76" spans="1:14">
      <c r="A76" s="240" t="s">
        <v>1673</v>
      </c>
      <c r="B76" s="226" t="s">
        <v>308</v>
      </c>
      <c r="C76" s="226" t="s">
        <v>309</v>
      </c>
      <c r="D76" s="226" t="s">
        <v>3187</v>
      </c>
      <c r="E76" s="226" t="s">
        <v>3031</v>
      </c>
      <c r="F76" s="226" t="s">
        <v>1196</v>
      </c>
      <c r="G76" s="233" t="s">
        <v>1674</v>
      </c>
      <c r="H76" s="225" t="s">
        <v>1675</v>
      </c>
      <c r="I76" s="216" t="s">
        <v>5247</v>
      </c>
      <c r="J76" s="233" t="s">
        <v>2078</v>
      </c>
      <c r="K76" s="241" t="s">
        <v>4279</v>
      </c>
      <c r="L76" s="216" t="s">
        <v>4944</v>
      </c>
      <c r="M76" s="216" t="s">
        <v>4631</v>
      </c>
      <c r="N76" s="230" t="s">
        <v>3898</v>
      </c>
    </row>
    <row r="77" spans="1:14">
      <c r="A77" s="240" t="s">
        <v>28</v>
      </c>
      <c r="B77" s="226" t="s">
        <v>310</v>
      </c>
      <c r="C77" s="226" t="s">
        <v>311</v>
      </c>
      <c r="D77" s="226" t="s">
        <v>508</v>
      </c>
      <c r="E77" s="226" t="s">
        <v>628</v>
      </c>
      <c r="F77" s="226" t="s">
        <v>3367</v>
      </c>
      <c r="G77" s="233" t="s">
        <v>1321</v>
      </c>
      <c r="H77" s="225" t="s">
        <v>917</v>
      </c>
      <c r="I77" s="216" t="s">
        <v>5248</v>
      </c>
      <c r="J77" s="233" t="s">
        <v>2079</v>
      </c>
      <c r="K77" s="241" t="s">
        <v>4280</v>
      </c>
      <c r="L77" s="216" t="s">
        <v>4945</v>
      </c>
      <c r="M77" s="216" t="s">
        <v>4632</v>
      </c>
      <c r="N77" s="230" t="s">
        <v>3899</v>
      </c>
    </row>
    <row r="78" spans="1:14">
      <c r="A78" s="238" t="s">
        <v>98</v>
      </c>
      <c r="B78" s="235" t="s">
        <v>312</v>
      </c>
      <c r="C78" s="235" t="s">
        <v>312</v>
      </c>
      <c r="D78" s="233" t="s">
        <v>98</v>
      </c>
      <c r="E78" s="233" t="s">
        <v>98</v>
      </c>
      <c r="F78" s="226" t="s">
        <v>312</v>
      </c>
      <c r="G78" s="238" t="s">
        <v>98</v>
      </c>
      <c r="H78" s="225" t="s">
        <v>918</v>
      </c>
      <c r="I78" s="215" t="s">
        <v>5249</v>
      </c>
      <c r="J78" s="233" t="s">
        <v>98</v>
      </c>
      <c r="K78" s="239" t="s">
        <v>4281</v>
      </c>
      <c r="L78" s="215" t="s">
        <v>4946</v>
      </c>
      <c r="M78" s="215" t="s">
        <v>4633</v>
      </c>
      <c r="N78" s="230" t="s">
        <v>3900</v>
      </c>
    </row>
    <row r="79" spans="1:14">
      <c r="A79" s="238" t="s">
        <v>99</v>
      </c>
      <c r="B79" s="235" t="s">
        <v>313</v>
      </c>
      <c r="C79" s="235" t="s">
        <v>313</v>
      </c>
      <c r="D79" s="233" t="s">
        <v>99</v>
      </c>
      <c r="E79" s="233" t="s">
        <v>99</v>
      </c>
      <c r="F79" s="226" t="s">
        <v>313</v>
      </c>
      <c r="G79" s="238" t="s">
        <v>99</v>
      </c>
      <c r="H79" s="225" t="s">
        <v>919</v>
      </c>
      <c r="I79" s="215" t="s">
        <v>5250</v>
      </c>
      <c r="J79" s="233" t="s">
        <v>99</v>
      </c>
      <c r="K79" s="239" t="s">
        <v>4282</v>
      </c>
      <c r="L79" s="215" t="s">
        <v>4947</v>
      </c>
      <c r="M79" s="215" t="s">
        <v>4634</v>
      </c>
      <c r="N79" s="230" t="s">
        <v>3901</v>
      </c>
    </row>
    <row r="80" spans="1:14">
      <c r="A80" s="240" t="s">
        <v>29</v>
      </c>
      <c r="B80" s="226" t="s">
        <v>314</v>
      </c>
      <c r="C80" s="226" t="s">
        <v>315</v>
      </c>
      <c r="D80" s="226" t="s">
        <v>509</v>
      </c>
      <c r="E80" s="226" t="s">
        <v>629</v>
      </c>
      <c r="F80" s="226" t="s">
        <v>1197</v>
      </c>
      <c r="G80" s="238" t="s">
        <v>1322</v>
      </c>
      <c r="H80" s="225" t="s">
        <v>920</v>
      </c>
      <c r="I80" s="216" t="s">
        <v>5251</v>
      </c>
      <c r="J80" s="233" t="s">
        <v>2080</v>
      </c>
      <c r="K80" s="241" t="s">
        <v>4283</v>
      </c>
      <c r="L80" s="216" t="s">
        <v>4948</v>
      </c>
      <c r="M80" s="216" t="s">
        <v>4635</v>
      </c>
      <c r="N80" s="230" t="s">
        <v>3902</v>
      </c>
    </row>
    <row r="81" spans="1:14">
      <c r="A81" s="240" t="s">
        <v>30</v>
      </c>
      <c r="B81" s="226" t="s">
        <v>316</v>
      </c>
      <c r="C81" s="226" t="s">
        <v>317</v>
      </c>
      <c r="D81" s="226" t="s">
        <v>510</v>
      </c>
      <c r="E81" s="226" t="s">
        <v>630</v>
      </c>
      <c r="F81" s="226" t="s">
        <v>1198</v>
      </c>
      <c r="G81" s="240" t="s">
        <v>1323</v>
      </c>
      <c r="H81" s="225" t="s">
        <v>921</v>
      </c>
      <c r="I81" s="216" t="s">
        <v>5252</v>
      </c>
      <c r="J81" s="233" t="s">
        <v>2081</v>
      </c>
      <c r="K81" s="241" t="s">
        <v>4284</v>
      </c>
      <c r="L81" s="216" t="s">
        <v>4949</v>
      </c>
      <c r="M81" s="216" t="s">
        <v>4636</v>
      </c>
      <c r="N81" s="230" t="s">
        <v>3903</v>
      </c>
    </row>
    <row r="82" spans="1:14">
      <c r="A82" s="240" t="s">
        <v>31</v>
      </c>
      <c r="B82" s="226" t="s">
        <v>318</v>
      </c>
      <c r="C82" s="226" t="s">
        <v>319</v>
      </c>
      <c r="D82" s="226" t="s">
        <v>511</v>
      </c>
      <c r="E82" s="226" t="s">
        <v>631</v>
      </c>
      <c r="F82" s="226" t="s">
        <v>1199</v>
      </c>
      <c r="G82" s="240" t="s">
        <v>1324</v>
      </c>
      <c r="H82" s="225" t="s">
        <v>922</v>
      </c>
      <c r="I82" s="216" t="s">
        <v>5253</v>
      </c>
      <c r="J82" s="233" t="s">
        <v>2082</v>
      </c>
      <c r="K82" s="241" t="s">
        <v>4285</v>
      </c>
      <c r="L82" s="216" t="s">
        <v>4950</v>
      </c>
      <c r="M82" s="216" t="s">
        <v>4637</v>
      </c>
      <c r="N82" s="230" t="s">
        <v>3904</v>
      </c>
    </row>
    <row r="83" spans="1:14">
      <c r="A83" s="240" t="s">
        <v>32</v>
      </c>
      <c r="B83" s="226" t="s">
        <v>320</v>
      </c>
      <c r="C83" s="226" t="s">
        <v>321</v>
      </c>
      <c r="D83" s="226" t="s">
        <v>512</v>
      </c>
      <c r="E83" s="226" t="s">
        <v>632</v>
      </c>
      <c r="F83" s="226" t="s">
        <v>1200</v>
      </c>
      <c r="G83" s="238" t="s">
        <v>1325</v>
      </c>
      <c r="H83" s="225" t="s">
        <v>923</v>
      </c>
      <c r="I83" s="216" t="s">
        <v>5254</v>
      </c>
      <c r="J83" s="233" t="s">
        <v>2083</v>
      </c>
      <c r="K83" s="241" t="s">
        <v>4286</v>
      </c>
      <c r="L83" s="216" t="s">
        <v>4951</v>
      </c>
      <c r="M83" s="216" t="s">
        <v>4638</v>
      </c>
      <c r="N83" s="230" t="s">
        <v>3905</v>
      </c>
    </row>
    <row r="84" spans="1:14">
      <c r="A84" s="240" t="s">
        <v>33</v>
      </c>
      <c r="B84" s="226" t="s">
        <v>322</v>
      </c>
      <c r="C84" s="226" t="s">
        <v>323</v>
      </c>
      <c r="D84" s="226" t="s">
        <v>513</v>
      </c>
      <c r="E84" s="226" t="s">
        <v>633</v>
      </c>
      <c r="F84" s="226" t="s">
        <v>1201</v>
      </c>
      <c r="G84" s="238" t="s">
        <v>1326</v>
      </c>
      <c r="H84" s="225" t="s">
        <v>924</v>
      </c>
      <c r="I84" s="216" t="s">
        <v>5255</v>
      </c>
      <c r="J84" s="233" t="s">
        <v>2084</v>
      </c>
      <c r="K84" s="241" t="s">
        <v>4287</v>
      </c>
      <c r="L84" s="216" t="s">
        <v>4952</v>
      </c>
      <c r="M84" s="216" t="s">
        <v>4639</v>
      </c>
      <c r="N84" s="230" t="s">
        <v>3906</v>
      </c>
    </row>
    <row r="85" spans="1:14">
      <c r="A85" s="240" t="s">
        <v>34</v>
      </c>
      <c r="B85" s="226" t="s">
        <v>324</v>
      </c>
      <c r="C85" s="226" t="s">
        <v>325</v>
      </c>
      <c r="D85" s="226" t="s">
        <v>514</v>
      </c>
      <c r="E85" s="226" t="s">
        <v>634</v>
      </c>
      <c r="F85" s="226" t="s">
        <v>1202</v>
      </c>
      <c r="G85" s="238" t="s">
        <v>1327</v>
      </c>
      <c r="H85" s="225" t="s">
        <v>925</v>
      </c>
      <c r="I85" s="216" t="s">
        <v>5256</v>
      </c>
      <c r="J85" s="233" t="s">
        <v>2085</v>
      </c>
      <c r="K85" s="241" t="s">
        <v>4288</v>
      </c>
      <c r="L85" s="216" t="s">
        <v>4953</v>
      </c>
      <c r="M85" s="216" t="s">
        <v>4640</v>
      </c>
      <c r="N85" s="230" t="s">
        <v>3907</v>
      </c>
    </row>
    <row r="86" spans="1:14">
      <c r="A86" s="240" t="s">
        <v>35</v>
      </c>
      <c r="B86" s="226" t="s">
        <v>326</v>
      </c>
      <c r="C86" s="226" t="s">
        <v>327</v>
      </c>
      <c r="D86" s="226" t="s">
        <v>515</v>
      </c>
      <c r="E86" s="226" t="s">
        <v>635</v>
      </c>
      <c r="F86" s="226" t="s">
        <v>1203</v>
      </c>
      <c r="G86" s="238" t="s">
        <v>1328</v>
      </c>
      <c r="H86" s="225" t="s">
        <v>926</v>
      </c>
      <c r="I86" s="216" t="s">
        <v>5257</v>
      </c>
      <c r="J86" s="233" t="s">
        <v>2086</v>
      </c>
      <c r="K86" s="241" t="s">
        <v>4289</v>
      </c>
      <c r="L86" s="216" t="s">
        <v>4954</v>
      </c>
      <c r="M86" s="216" t="s">
        <v>4641</v>
      </c>
      <c r="N86" s="230" t="s">
        <v>3908</v>
      </c>
    </row>
    <row r="87" spans="1:14">
      <c r="A87" s="240" t="s">
        <v>36</v>
      </c>
      <c r="B87" s="226" t="s">
        <v>328</v>
      </c>
      <c r="C87" s="226" t="s">
        <v>329</v>
      </c>
      <c r="D87" s="226" t="s">
        <v>516</v>
      </c>
      <c r="E87" s="226" t="s">
        <v>636</v>
      </c>
      <c r="F87" s="226" t="s">
        <v>1204</v>
      </c>
      <c r="G87" s="238" t="s">
        <v>1329</v>
      </c>
      <c r="H87" s="225" t="s">
        <v>927</v>
      </c>
      <c r="I87" s="216" t="s">
        <v>5258</v>
      </c>
      <c r="J87" s="233" t="s">
        <v>2087</v>
      </c>
      <c r="K87" s="241" t="s">
        <v>4290</v>
      </c>
      <c r="L87" s="216" t="s">
        <v>4955</v>
      </c>
      <c r="M87" s="216" t="s">
        <v>4642</v>
      </c>
      <c r="N87" s="230" t="s">
        <v>3909</v>
      </c>
    </row>
    <row r="88" spans="1:14">
      <c r="A88" s="240" t="s">
        <v>100</v>
      </c>
      <c r="B88" s="226" t="s">
        <v>330</v>
      </c>
      <c r="C88" s="226" t="s">
        <v>331</v>
      </c>
      <c r="D88" s="63" t="s">
        <v>517</v>
      </c>
      <c r="E88" s="63" t="s">
        <v>637</v>
      </c>
      <c r="F88" s="226" t="s">
        <v>1205</v>
      </c>
      <c r="G88" s="238" t="s">
        <v>1330</v>
      </c>
      <c r="H88" s="225" t="s">
        <v>928</v>
      </c>
      <c r="I88" s="216" t="s">
        <v>5259</v>
      </c>
      <c r="J88" s="233" t="s">
        <v>2088</v>
      </c>
      <c r="K88" s="241" t="s">
        <v>4291</v>
      </c>
      <c r="L88" s="216" t="s">
        <v>4956</v>
      </c>
      <c r="M88" s="216" t="s">
        <v>4643</v>
      </c>
      <c r="N88" s="230" t="s">
        <v>3910</v>
      </c>
    </row>
    <row r="89" spans="1:14">
      <c r="A89" s="240" t="s">
        <v>105</v>
      </c>
      <c r="B89" s="226" t="s">
        <v>332</v>
      </c>
      <c r="C89" s="226" t="s">
        <v>333</v>
      </c>
      <c r="D89" s="63" t="s">
        <v>518</v>
      </c>
      <c r="E89" s="63" t="s">
        <v>638</v>
      </c>
      <c r="F89" s="226" t="s">
        <v>1206</v>
      </c>
      <c r="G89" s="238" t="s">
        <v>1331</v>
      </c>
      <c r="H89" s="225" t="s">
        <v>929</v>
      </c>
      <c r="I89" s="216" t="s">
        <v>5260</v>
      </c>
      <c r="J89" s="233" t="s">
        <v>2089</v>
      </c>
      <c r="K89" s="241" t="s">
        <v>4292</v>
      </c>
      <c r="L89" s="216" t="s">
        <v>4957</v>
      </c>
      <c r="M89" s="216" t="s">
        <v>4644</v>
      </c>
      <c r="N89" s="230" t="s">
        <v>3911</v>
      </c>
    </row>
    <row r="90" spans="1:14">
      <c r="A90" s="233" t="s">
        <v>101</v>
      </c>
      <c r="B90" s="235" t="s">
        <v>334</v>
      </c>
      <c r="C90" s="235" t="s">
        <v>335</v>
      </c>
      <c r="D90" s="233" t="s">
        <v>519</v>
      </c>
      <c r="E90" s="233" t="s">
        <v>639</v>
      </c>
      <c r="F90" s="226" t="s">
        <v>1207</v>
      </c>
      <c r="G90" s="233" t="s">
        <v>1332</v>
      </c>
      <c r="H90" s="225" t="s">
        <v>930</v>
      </c>
      <c r="I90" s="214" t="s">
        <v>5261</v>
      </c>
      <c r="J90" s="233" t="s">
        <v>2090</v>
      </c>
      <c r="K90" s="234" t="s">
        <v>4293</v>
      </c>
      <c r="L90" s="214" t="s">
        <v>4645</v>
      </c>
      <c r="M90" s="214" t="s">
        <v>4645</v>
      </c>
      <c r="N90" s="230" t="s">
        <v>3912</v>
      </c>
    </row>
    <row r="91" spans="1:14">
      <c r="A91" s="233" t="s">
        <v>102</v>
      </c>
      <c r="B91" s="235" t="s">
        <v>336</v>
      </c>
      <c r="C91" s="235" t="s">
        <v>337</v>
      </c>
      <c r="D91" s="233" t="s">
        <v>520</v>
      </c>
      <c r="E91" s="233" t="s">
        <v>640</v>
      </c>
      <c r="F91" s="226" t="s">
        <v>1208</v>
      </c>
      <c r="G91" s="233" t="s">
        <v>1333</v>
      </c>
      <c r="H91" s="225" t="s">
        <v>931</v>
      </c>
      <c r="I91" s="214" t="s">
        <v>5262</v>
      </c>
      <c r="J91" s="233" t="s">
        <v>2091</v>
      </c>
      <c r="K91" s="234" t="s">
        <v>4294</v>
      </c>
      <c r="L91" s="214" t="s">
        <v>4646</v>
      </c>
      <c r="M91" s="214" t="s">
        <v>4646</v>
      </c>
      <c r="N91" s="230" t="s">
        <v>3913</v>
      </c>
    </row>
    <row r="92" spans="1:14">
      <c r="A92" s="233" t="s">
        <v>103</v>
      </c>
      <c r="B92" s="235" t="s">
        <v>338</v>
      </c>
      <c r="C92" s="235" t="s">
        <v>339</v>
      </c>
      <c r="D92" s="233" t="s">
        <v>521</v>
      </c>
      <c r="E92" s="233" t="s">
        <v>641</v>
      </c>
      <c r="F92" s="226" t="s">
        <v>1209</v>
      </c>
      <c r="G92" s="233" t="s">
        <v>1334</v>
      </c>
      <c r="H92" s="225" t="s">
        <v>932</v>
      </c>
      <c r="I92" s="214" t="s">
        <v>5263</v>
      </c>
      <c r="J92" s="233" t="s">
        <v>2092</v>
      </c>
      <c r="K92" s="234" t="s">
        <v>4295</v>
      </c>
      <c r="L92" s="214" t="s">
        <v>4647</v>
      </c>
      <c r="M92" s="214" t="s">
        <v>4647</v>
      </c>
      <c r="N92" s="230" t="s">
        <v>3914</v>
      </c>
    </row>
    <row r="93" spans="1:14">
      <c r="A93" s="233" t="s">
        <v>104</v>
      </c>
      <c r="B93" s="235" t="s">
        <v>340</v>
      </c>
      <c r="C93" s="235" t="s">
        <v>341</v>
      </c>
      <c r="D93" s="233" t="s">
        <v>522</v>
      </c>
      <c r="E93" s="233" t="s">
        <v>642</v>
      </c>
      <c r="F93" s="226" t="s">
        <v>1210</v>
      </c>
      <c r="G93" s="233" t="s">
        <v>1335</v>
      </c>
      <c r="H93" s="225" t="s">
        <v>933</v>
      </c>
      <c r="I93" s="214" t="s">
        <v>5264</v>
      </c>
      <c r="J93" s="233" t="s">
        <v>2093</v>
      </c>
      <c r="K93" s="234" t="s">
        <v>4296</v>
      </c>
      <c r="L93" s="214" t="s">
        <v>4648</v>
      </c>
      <c r="M93" s="214" t="s">
        <v>4648</v>
      </c>
      <c r="N93" s="230" t="s">
        <v>3915</v>
      </c>
    </row>
    <row r="94" spans="1:14">
      <c r="A94" s="240" t="s">
        <v>37</v>
      </c>
      <c r="B94" s="226" t="s">
        <v>342</v>
      </c>
      <c r="C94" s="226" t="s">
        <v>343</v>
      </c>
      <c r="D94" s="226" t="s">
        <v>523</v>
      </c>
      <c r="E94" s="226" t="s">
        <v>643</v>
      </c>
      <c r="F94" s="226" t="s">
        <v>1211</v>
      </c>
      <c r="G94" s="233" t="s">
        <v>1336</v>
      </c>
      <c r="H94" s="225" t="s">
        <v>934</v>
      </c>
      <c r="I94" s="216" t="s">
        <v>5265</v>
      </c>
      <c r="J94" s="233" t="s">
        <v>2094</v>
      </c>
      <c r="K94" s="241" t="s">
        <v>4297</v>
      </c>
      <c r="L94" s="216" t="s">
        <v>4958</v>
      </c>
      <c r="M94" s="216" t="s">
        <v>4649</v>
      </c>
      <c r="N94" s="230" t="s">
        <v>3916</v>
      </c>
    </row>
    <row r="95" spans="1:14">
      <c r="A95" s="240" t="s">
        <v>38</v>
      </c>
      <c r="B95" s="226" t="s">
        <v>344</v>
      </c>
      <c r="C95" s="226" t="s">
        <v>345</v>
      </c>
      <c r="D95" s="226" t="s">
        <v>524</v>
      </c>
      <c r="E95" s="226" t="s">
        <v>644</v>
      </c>
      <c r="F95" s="226" t="s">
        <v>1212</v>
      </c>
      <c r="G95" s="233" t="s">
        <v>1337</v>
      </c>
      <c r="H95" s="225" t="s">
        <v>935</v>
      </c>
      <c r="I95" s="216" t="s">
        <v>5266</v>
      </c>
      <c r="J95" s="233" t="s">
        <v>2095</v>
      </c>
      <c r="K95" s="241" t="s">
        <v>4298</v>
      </c>
      <c r="L95" s="216" t="s">
        <v>4959</v>
      </c>
      <c r="M95" s="216" t="s">
        <v>4650</v>
      </c>
      <c r="N95" s="230" t="s">
        <v>3917</v>
      </c>
    </row>
    <row r="96" spans="1:14">
      <c r="A96" s="240" t="s">
        <v>39</v>
      </c>
      <c r="B96" s="226" t="s">
        <v>346</v>
      </c>
      <c r="C96" s="226" t="s">
        <v>347</v>
      </c>
      <c r="D96" s="226" t="s">
        <v>525</v>
      </c>
      <c r="E96" s="226" t="s">
        <v>645</v>
      </c>
      <c r="F96" s="226" t="s">
        <v>1213</v>
      </c>
      <c r="G96" s="233" t="s">
        <v>1338</v>
      </c>
      <c r="H96" s="225" t="s">
        <v>936</v>
      </c>
      <c r="I96" s="216" t="s">
        <v>5267</v>
      </c>
      <c r="J96" s="233" t="s">
        <v>2096</v>
      </c>
      <c r="K96" s="241" t="s">
        <v>4299</v>
      </c>
      <c r="L96" s="216" t="s">
        <v>4960</v>
      </c>
      <c r="M96" s="216" t="s">
        <v>4651</v>
      </c>
      <c r="N96" s="230" t="s">
        <v>3918</v>
      </c>
    </row>
    <row r="97" spans="1:14">
      <c r="A97" s="240" t="s">
        <v>40</v>
      </c>
      <c r="B97" s="226" t="s">
        <v>348</v>
      </c>
      <c r="C97" s="226" t="s">
        <v>349</v>
      </c>
      <c r="D97" s="226" t="s">
        <v>526</v>
      </c>
      <c r="E97" s="226" t="s">
        <v>646</v>
      </c>
      <c r="F97" s="226" t="s">
        <v>1214</v>
      </c>
      <c r="G97" s="233" t="s">
        <v>1339</v>
      </c>
      <c r="H97" s="225" t="s">
        <v>937</v>
      </c>
      <c r="I97" s="216" t="s">
        <v>5268</v>
      </c>
      <c r="J97" s="233" t="s">
        <v>2097</v>
      </c>
      <c r="K97" s="241" t="s">
        <v>4300</v>
      </c>
      <c r="L97" s="216" t="s">
        <v>4961</v>
      </c>
      <c r="M97" s="216" t="s">
        <v>4652</v>
      </c>
      <c r="N97" s="230" t="s">
        <v>3919</v>
      </c>
    </row>
    <row r="98" spans="1:14">
      <c r="A98" s="240" t="s">
        <v>41</v>
      </c>
      <c r="B98" s="226" t="s">
        <v>350</v>
      </c>
      <c r="C98" s="226" t="s">
        <v>351</v>
      </c>
      <c r="D98" s="226" t="s">
        <v>527</v>
      </c>
      <c r="E98" s="226" t="s">
        <v>647</v>
      </c>
      <c r="F98" s="226" t="s">
        <v>1215</v>
      </c>
      <c r="G98" s="233" t="s">
        <v>1340</v>
      </c>
      <c r="H98" s="225" t="s">
        <v>938</v>
      </c>
      <c r="I98" s="216" t="s">
        <v>5269</v>
      </c>
      <c r="J98" s="233" t="s">
        <v>2098</v>
      </c>
      <c r="K98" s="241" t="s">
        <v>4301</v>
      </c>
      <c r="L98" s="216" t="s">
        <v>4962</v>
      </c>
      <c r="M98" s="216" t="s">
        <v>4653</v>
      </c>
      <c r="N98" s="230" t="s">
        <v>3920</v>
      </c>
    </row>
    <row r="99" spans="1:14">
      <c r="A99" s="240" t="s">
        <v>45</v>
      </c>
      <c r="B99" s="226" t="s">
        <v>352</v>
      </c>
      <c r="C99" s="226" t="s">
        <v>353</v>
      </c>
      <c r="D99" s="226" t="s">
        <v>528</v>
      </c>
      <c r="E99" s="226" t="s">
        <v>648</v>
      </c>
      <c r="F99" s="226" t="s">
        <v>1216</v>
      </c>
      <c r="G99" s="233" t="s">
        <v>1341</v>
      </c>
      <c r="H99" s="225" t="s">
        <v>939</v>
      </c>
      <c r="I99" s="216" t="s">
        <v>5270</v>
      </c>
      <c r="J99" s="233" t="s">
        <v>2099</v>
      </c>
      <c r="K99" s="241" t="s">
        <v>4302</v>
      </c>
      <c r="L99" s="216" t="s">
        <v>4963</v>
      </c>
      <c r="M99" s="216" t="s">
        <v>4654</v>
      </c>
      <c r="N99" s="230" t="s">
        <v>3921</v>
      </c>
    </row>
    <row r="100" spans="1:14">
      <c r="A100" s="240" t="s">
        <v>46</v>
      </c>
      <c r="B100" s="226" t="s">
        <v>354</v>
      </c>
      <c r="C100" s="226" t="s">
        <v>355</v>
      </c>
      <c r="D100" s="226" t="s">
        <v>529</v>
      </c>
      <c r="E100" s="226" t="s">
        <v>649</v>
      </c>
      <c r="F100" s="226" t="s">
        <v>1217</v>
      </c>
      <c r="G100" s="233" t="s">
        <v>1342</v>
      </c>
      <c r="H100" s="225" t="s">
        <v>940</v>
      </c>
      <c r="I100" s="216" t="s">
        <v>5271</v>
      </c>
      <c r="J100" s="233" t="s">
        <v>2100</v>
      </c>
      <c r="K100" s="241" t="s">
        <v>4303</v>
      </c>
      <c r="L100" s="216" t="s">
        <v>4964</v>
      </c>
      <c r="M100" s="216" t="s">
        <v>4655</v>
      </c>
      <c r="N100" s="230" t="s">
        <v>3922</v>
      </c>
    </row>
    <row r="101" spans="1:14">
      <c r="A101" s="240" t="s">
        <v>47</v>
      </c>
      <c r="B101" s="226" t="s">
        <v>356</v>
      </c>
      <c r="C101" s="226" t="s">
        <v>357</v>
      </c>
      <c r="D101" s="226" t="s">
        <v>530</v>
      </c>
      <c r="E101" s="226" t="s">
        <v>650</v>
      </c>
      <c r="F101" s="226" t="s">
        <v>1218</v>
      </c>
      <c r="G101" s="240" t="s">
        <v>1343</v>
      </c>
      <c r="H101" s="225" t="s">
        <v>941</v>
      </c>
      <c r="I101" s="216" t="s">
        <v>5272</v>
      </c>
      <c r="J101" s="233" t="s">
        <v>2101</v>
      </c>
      <c r="K101" s="241" t="s">
        <v>4304</v>
      </c>
      <c r="L101" s="216" t="s">
        <v>4965</v>
      </c>
      <c r="M101" s="216" t="s">
        <v>4656</v>
      </c>
      <c r="N101" s="230" t="s">
        <v>3923</v>
      </c>
    </row>
    <row r="102" spans="1:14">
      <c r="A102" s="240" t="s">
        <v>48</v>
      </c>
      <c r="B102" s="226" t="s">
        <v>358</v>
      </c>
      <c r="C102" s="226" t="s">
        <v>359</v>
      </c>
      <c r="D102" s="226" t="s">
        <v>531</v>
      </c>
      <c r="E102" s="226" t="s">
        <v>651</v>
      </c>
      <c r="F102" s="226" t="s">
        <v>1219</v>
      </c>
      <c r="G102" s="240" t="s">
        <v>1344</v>
      </c>
      <c r="H102" s="225" t="s">
        <v>942</v>
      </c>
      <c r="I102" s="216" t="s">
        <v>5273</v>
      </c>
      <c r="J102" s="233" t="s">
        <v>2102</v>
      </c>
      <c r="K102" s="241" t="s">
        <v>4305</v>
      </c>
      <c r="L102" s="216" t="s">
        <v>4966</v>
      </c>
      <c r="M102" s="216" t="s">
        <v>4305</v>
      </c>
      <c r="N102" s="230" t="s">
        <v>3924</v>
      </c>
    </row>
    <row r="103" spans="1:14">
      <c r="A103" s="240" t="s">
        <v>49</v>
      </c>
      <c r="B103" s="226" t="s">
        <v>360</v>
      </c>
      <c r="C103" s="226" t="s">
        <v>361</v>
      </c>
      <c r="D103" s="226" t="s">
        <v>532</v>
      </c>
      <c r="E103" s="226" t="s">
        <v>652</v>
      </c>
      <c r="F103" s="226" t="s">
        <v>1220</v>
      </c>
      <c r="G103" s="240" t="s">
        <v>1345</v>
      </c>
      <c r="H103" s="225" t="s">
        <v>943</v>
      </c>
      <c r="I103" s="216" t="s">
        <v>5274</v>
      </c>
      <c r="J103" s="233" t="s">
        <v>2103</v>
      </c>
      <c r="K103" s="241" t="s">
        <v>4306</v>
      </c>
      <c r="L103" s="216" t="s">
        <v>4967</v>
      </c>
      <c r="M103" s="216" t="s">
        <v>4306</v>
      </c>
      <c r="N103" s="230" t="s">
        <v>3925</v>
      </c>
    </row>
    <row r="104" spans="1:14">
      <c r="A104" s="240" t="s">
        <v>50</v>
      </c>
      <c r="B104" s="226" t="s">
        <v>362</v>
      </c>
      <c r="C104" s="226" t="s">
        <v>363</v>
      </c>
      <c r="D104" s="226" t="s">
        <v>533</v>
      </c>
      <c r="E104" s="226" t="s">
        <v>653</v>
      </c>
      <c r="F104" s="226" t="s">
        <v>1221</v>
      </c>
      <c r="G104" s="240" t="s">
        <v>1346</v>
      </c>
      <c r="H104" s="225" t="s">
        <v>944</v>
      </c>
      <c r="I104" s="216" t="s">
        <v>5275</v>
      </c>
      <c r="J104" s="233" t="s">
        <v>2104</v>
      </c>
      <c r="K104" s="241" t="s">
        <v>4307</v>
      </c>
      <c r="L104" s="216" t="s">
        <v>4968</v>
      </c>
      <c r="M104" s="216" t="s">
        <v>4307</v>
      </c>
      <c r="N104" s="230" t="s">
        <v>3926</v>
      </c>
    </row>
    <row r="105" spans="1:14">
      <c r="A105" s="240" t="s">
        <v>51</v>
      </c>
      <c r="B105" s="226" t="s">
        <v>364</v>
      </c>
      <c r="C105" s="226" t="s">
        <v>365</v>
      </c>
      <c r="D105" s="226" t="s">
        <v>534</v>
      </c>
      <c r="E105" s="226" t="s">
        <v>654</v>
      </c>
      <c r="F105" s="226" t="s">
        <v>3368</v>
      </c>
      <c r="G105" s="240" t="s">
        <v>1347</v>
      </c>
      <c r="H105" s="225" t="s">
        <v>945</v>
      </c>
      <c r="I105" s="216" t="s">
        <v>5276</v>
      </c>
      <c r="J105" s="233" t="s">
        <v>2105</v>
      </c>
      <c r="K105" s="241" t="s">
        <v>4308</v>
      </c>
      <c r="L105" s="216" t="s">
        <v>4657</v>
      </c>
      <c r="M105" s="216" t="s">
        <v>4657</v>
      </c>
      <c r="N105" s="230" t="s">
        <v>3927</v>
      </c>
    </row>
    <row r="106" spans="1:14">
      <c r="A106" s="238" t="s">
        <v>107</v>
      </c>
      <c r="B106" s="235" t="s">
        <v>366</v>
      </c>
      <c r="C106" s="235" t="s">
        <v>367</v>
      </c>
      <c r="D106" s="233" t="s">
        <v>107</v>
      </c>
      <c r="E106" s="233" t="s">
        <v>107</v>
      </c>
      <c r="F106" s="226" t="s">
        <v>366</v>
      </c>
      <c r="G106" s="238" t="s">
        <v>107</v>
      </c>
      <c r="H106" s="225" t="s">
        <v>107</v>
      </c>
      <c r="I106" s="215" t="s">
        <v>4309</v>
      </c>
      <c r="J106" s="233" t="s">
        <v>107</v>
      </c>
      <c r="K106" s="239" t="s">
        <v>4309</v>
      </c>
      <c r="L106" s="215" t="s">
        <v>4309</v>
      </c>
      <c r="M106" s="215" t="s">
        <v>4658</v>
      </c>
      <c r="N106" s="230" t="s">
        <v>3928</v>
      </c>
    </row>
    <row r="107" spans="1:14">
      <c r="A107" s="238" t="s">
        <v>108</v>
      </c>
      <c r="B107" s="235" t="s">
        <v>368</v>
      </c>
      <c r="C107" s="235" t="s">
        <v>369</v>
      </c>
      <c r="D107" s="233" t="s">
        <v>108</v>
      </c>
      <c r="E107" s="233" t="s">
        <v>108</v>
      </c>
      <c r="F107" s="226" t="s">
        <v>368</v>
      </c>
      <c r="G107" s="238" t="s">
        <v>108</v>
      </c>
      <c r="H107" s="225" t="s">
        <v>108</v>
      </c>
      <c r="I107" s="215" t="s">
        <v>4310</v>
      </c>
      <c r="J107" s="233" t="s">
        <v>108</v>
      </c>
      <c r="K107" s="239" t="s">
        <v>4310</v>
      </c>
      <c r="L107" s="215" t="s">
        <v>4310</v>
      </c>
      <c r="M107" s="215" t="s">
        <v>4659</v>
      </c>
      <c r="N107" s="230" t="s">
        <v>3929</v>
      </c>
    </row>
    <row r="108" spans="1:14">
      <c r="A108" s="238" t="s">
        <v>109</v>
      </c>
      <c r="B108" s="235" t="s">
        <v>370</v>
      </c>
      <c r="C108" s="235" t="s">
        <v>371</v>
      </c>
      <c r="D108" s="233" t="s">
        <v>109</v>
      </c>
      <c r="E108" s="233" t="s">
        <v>109</v>
      </c>
      <c r="F108" s="226" t="s">
        <v>370</v>
      </c>
      <c r="G108" s="238" t="s">
        <v>109</v>
      </c>
      <c r="H108" s="225" t="s">
        <v>109</v>
      </c>
      <c r="I108" s="215" t="s">
        <v>5277</v>
      </c>
      <c r="J108" s="233" t="s">
        <v>109</v>
      </c>
      <c r="K108" s="239" t="s">
        <v>4311</v>
      </c>
      <c r="L108" s="215" t="s">
        <v>4311</v>
      </c>
      <c r="M108" s="215" t="s">
        <v>4660</v>
      </c>
      <c r="N108" s="230" t="s">
        <v>3930</v>
      </c>
    </row>
    <row r="109" spans="1:14">
      <c r="A109" s="240" t="s">
        <v>52</v>
      </c>
      <c r="B109" s="226" t="s">
        <v>372</v>
      </c>
      <c r="C109" s="226" t="s">
        <v>373</v>
      </c>
      <c r="D109" s="226" t="s">
        <v>535</v>
      </c>
      <c r="E109" s="226" t="s">
        <v>655</v>
      </c>
      <c r="F109" s="226" t="s">
        <v>3369</v>
      </c>
      <c r="G109" s="238" t="s">
        <v>1348</v>
      </c>
      <c r="H109" s="225" t="s">
        <v>946</v>
      </c>
      <c r="I109" s="216" t="s">
        <v>5278</v>
      </c>
      <c r="J109" s="233" t="s">
        <v>2106</v>
      </c>
      <c r="K109" s="241" t="s">
        <v>4312</v>
      </c>
      <c r="L109" s="216" t="s">
        <v>4969</v>
      </c>
      <c r="M109" s="216" t="s">
        <v>4661</v>
      </c>
      <c r="N109" s="230" t="s">
        <v>3931</v>
      </c>
    </row>
    <row r="110" spans="1:14">
      <c r="A110" s="240" t="s">
        <v>53</v>
      </c>
      <c r="B110" s="226" t="s">
        <v>374</v>
      </c>
      <c r="C110" s="226" t="s">
        <v>375</v>
      </c>
      <c r="D110" s="226" t="s">
        <v>536</v>
      </c>
      <c r="E110" s="226" t="s">
        <v>656</v>
      </c>
      <c r="F110" s="226" t="s">
        <v>1222</v>
      </c>
      <c r="G110" s="238" t="s">
        <v>1349</v>
      </c>
      <c r="H110" s="225" t="s">
        <v>947</v>
      </c>
      <c r="I110" s="216" t="s">
        <v>5279</v>
      </c>
      <c r="J110" s="233" t="s">
        <v>2107</v>
      </c>
      <c r="K110" s="241" t="s">
        <v>4313</v>
      </c>
      <c r="L110" s="216" t="s">
        <v>4970</v>
      </c>
      <c r="M110" s="216" t="s">
        <v>4662</v>
      </c>
      <c r="N110" s="230" t="s">
        <v>3932</v>
      </c>
    </row>
    <row r="111" spans="1:14">
      <c r="A111" s="240" t="s">
        <v>54</v>
      </c>
      <c r="B111" s="226" t="s">
        <v>376</v>
      </c>
      <c r="C111" s="226" t="s">
        <v>377</v>
      </c>
      <c r="D111" s="226" t="s">
        <v>537</v>
      </c>
      <c r="E111" s="226" t="s">
        <v>657</v>
      </c>
      <c r="F111" s="226" t="s">
        <v>1223</v>
      </c>
      <c r="G111" s="238" t="s">
        <v>1350</v>
      </c>
      <c r="H111" s="225" t="s">
        <v>948</v>
      </c>
      <c r="I111" s="216" t="s">
        <v>5280</v>
      </c>
      <c r="J111" s="233" t="s">
        <v>2108</v>
      </c>
      <c r="K111" s="241" t="s">
        <v>4314</v>
      </c>
      <c r="L111" s="216" t="s">
        <v>4971</v>
      </c>
      <c r="M111" s="216" t="s">
        <v>4663</v>
      </c>
      <c r="N111" s="230" t="s">
        <v>3933</v>
      </c>
    </row>
    <row r="112" spans="1:14">
      <c r="A112" s="240" t="s">
        <v>55</v>
      </c>
      <c r="B112" s="226" t="s">
        <v>378</v>
      </c>
      <c r="C112" s="226" t="s">
        <v>379</v>
      </c>
      <c r="D112" s="226" t="s">
        <v>538</v>
      </c>
      <c r="E112" s="226" t="s">
        <v>658</v>
      </c>
      <c r="F112" s="226" t="s">
        <v>1224</v>
      </c>
      <c r="G112" s="238" t="s">
        <v>1351</v>
      </c>
      <c r="H112" s="225" t="s">
        <v>949</v>
      </c>
      <c r="I112" s="216" t="s">
        <v>5281</v>
      </c>
      <c r="J112" s="233" t="s">
        <v>2109</v>
      </c>
      <c r="K112" s="241" t="s">
        <v>4315</v>
      </c>
      <c r="L112" s="216" t="s">
        <v>4972</v>
      </c>
      <c r="M112" s="216" t="s">
        <v>4664</v>
      </c>
      <c r="N112" s="230" t="s">
        <v>3934</v>
      </c>
    </row>
    <row r="113" spans="1:14">
      <c r="A113" s="240" t="s">
        <v>56</v>
      </c>
      <c r="B113" s="226" t="s">
        <v>380</v>
      </c>
      <c r="C113" s="226" t="s">
        <v>381</v>
      </c>
      <c r="D113" s="226" t="s">
        <v>539</v>
      </c>
      <c r="E113" s="226" t="s">
        <v>659</v>
      </c>
      <c r="F113" s="226" t="s">
        <v>1225</v>
      </c>
      <c r="G113" s="238" t="s">
        <v>1352</v>
      </c>
      <c r="H113" s="225" t="s">
        <v>950</v>
      </c>
      <c r="I113" s="216" t="s">
        <v>5282</v>
      </c>
      <c r="J113" s="233" t="s">
        <v>2110</v>
      </c>
      <c r="K113" s="241" t="s">
        <v>4316</v>
      </c>
      <c r="L113" s="216" t="s">
        <v>4973</v>
      </c>
      <c r="M113" s="216" t="s">
        <v>4665</v>
      </c>
      <c r="N113" s="230" t="s">
        <v>3935</v>
      </c>
    </row>
    <row r="114" spans="1:14">
      <c r="A114" s="233" t="s">
        <v>131</v>
      </c>
      <c r="B114" s="235" t="s">
        <v>382</v>
      </c>
      <c r="C114" s="235" t="s">
        <v>383</v>
      </c>
      <c r="D114" s="233" t="s">
        <v>540</v>
      </c>
      <c r="E114" s="233" t="s">
        <v>660</v>
      </c>
      <c r="F114" s="226" t="s">
        <v>1226</v>
      </c>
      <c r="G114" s="238" t="s">
        <v>1353</v>
      </c>
      <c r="H114" s="225" t="s">
        <v>951</v>
      </c>
      <c r="I114" s="214" t="s">
        <v>5283</v>
      </c>
      <c r="J114" s="233" t="s">
        <v>2111</v>
      </c>
      <c r="K114" s="234" t="s">
        <v>4317</v>
      </c>
      <c r="L114" s="214" t="s">
        <v>4974</v>
      </c>
      <c r="M114" s="214" t="s">
        <v>4666</v>
      </c>
      <c r="N114" s="230" t="s">
        <v>3936</v>
      </c>
    </row>
    <row r="115" spans="1:14">
      <c r="A115" s="233" t="s">
        <v>162</v>
      </c>
      <c r="B115" s="235" t="s">
        <v>384</v>
      </c>
      <c r="C115" s="235" t="s">
        <v>385</v>
      </c>
      <c r="D115" s="233" t="s">
        <v>541</v>
      </c>
      <c r="E115" s="233" t="s">
        <v>661</v>
      </c>
      <c r="F115" s="226" t="s">
        <v>1227</v>
      </c>
      <c r="G115" s="238" t="s">
        <v>1354</v>
      </c>
      <c r="H115" s="225" t="s">
        <v>952</v>
      </c>
      <c r="I115" s="214" t="s">
        <v>5284</v>
      </c>
      <c r="J115" s="233" t="s">
        <v>2112</v>
      </c>
      <c r="K115" s="234" t="s">
        <v>4318</v>
      </c>
      <c r="L115" s="214" t="s">
        <v>4975</v>
      </c>
      <c r="M115" s="214" t="s">
        <v>4667</v>
      </c>
      <c r="N115" s="230" t="s">
        <v>3937</v>
      </c>
    </row>
    <row r="116" spans="1:14">
      <c r="A116" s="238" t="s">
        <v>106</v>
      </c>
      <c r="B116" s="235" t="s">
        <v>386</v>
      </c>
      <c r="C116" s="235" t="s">
        <v>386</v>
      </c>
      <c r="D116" s="233" t="s">
        <v>542</v>
      </c>
      <c r="E116" s="233" t="s">
        <v>662</v>
      </c>
      <c r="F116" s="226" t="s">
        <v>1228</v>
      </c>
      <c r="G116" s="238" t="s">
        <v>1355</v>
      </c>
      <c r="H116" s="225" t="s">
        <v>953</v>
      </c>
      <c r="I116" s="215" t="s">
        <v>5285</v>
      </c>
      <c r="J116" s="233" t="s">
        <v>2113</v>
      </c>
      <c r="K116" s="239" t="s">
        <v>4319</v>
      </c>
      <c r="L116" s="215" t="s">
        <v>4668</v>
      </c>
      <c r="M116" s="215" t="s">
        <v>4668</v>
      </c>
      <c r="N116" s="230" t="s">
        <v>3938</v>
      </c>
    </row>
    <row r="117" spans="1:14">
      <c r="A117" s="233" t="s">
        <v>193</v>
      </c>
      <c r="B117" s="235" t="s">
        <v>387</v>
      </c>
      <c r="C117" s="235" t="s">
        <v>388</v>
      </c>
      <c r="D117" s="233" t="s">
        <v>543</v>
      </c>
      <c r="E117" s="233" t="s">
        <v>663</v>
      </c>
      <c r="F117" s="226" t="s">
        <v>1229</v>
      </c>
      <c r="G117" s="238" t="s">
        <v>1356</v>
      </c>
      <c r="H117" s="225" t="s">
        <v>954</v>
      </c>
      <c r="I117" s="214" t="s">
        <v>5286</v>
      </c>
      <c r="J117" s="233" t="s">
        <v>2114</v>
      </c>
      <c r="K117" s="234" t="s">
        <v>4320</v>
      </c>
      <c r="L117" s="214" t="s">
        <v>4976</v>
      </c>
      <c r="M117" s="214" t="s">
        <v>4669</v>
      </c>
      <c r="N117" s="230" t="s">
        <v>3939</v>
      </c>
    </row>
    <row r="118" spans="1:14">
      <c r="A118" s="233" t="s">
        <v>194</v>
      </c>
      <c r="B118" s="235" t="s">
        <v>389</v>
      </c>
      <c r="C118" s="235" t="s">
        <v>390</v>
      </c>
      <c r="D118" s="233" t="s">
        <v>544</v>
      </c>
      <c r="E118" s="233" t="s">
        <v>664</v>
      </c>
      <c r="F118" s="226" t="s">
        <v>1230</v>
      </c>
      <c r="G118" s="235" t="s">
        <v>1357</v>
      </c>
      <c r="H118" s="225" t="s">
        <v>955</v>
      </c>
      <c r="I118" s="214" t="s">
        <v>5287</v>
      </c>
      <c r="J118" s="233" t="s">
        <v>2115</v>
      </c>
      <c r="K118" s="234" t="s">
        <v>4321</v>
      </c>
      <c r="L118" s="214" t="s">
        <v>4977</v>
      </c>
      <c r="M118" s="214" t="s">
        <v>4670</v>
      </c>
      <c r="N118" s="230" t="s">
        <v>3940</v>
      </c>
    </row>
    <row r="119" spans="1:14">
      <c r="A119" s="233" t="s">
        <v>195</v>
      </c>
      <c r="B119" s="235" t="s">
        <v>391</v>
      </c>
      <c r="C119" s="235" t="s">
        <v>392</v>
      </c>
      <c r="D119" s="233" t="s">
        <v>545</v>
      </c>
      <c r="E119" s="233" t="s">
        <v>665</v>
      </c>
      <c r="F119" s="226" t="s">
        <v>1231</v>
      </c>
      <c r="G119" s="235" t="s">
        <v>1358</v>
      </c>
      <c r="H119" s="225" t="s">
        <v>956</v>
      </c>
      <c r="I119" s="214" t="s">
        <v>5288</v>
      </c>
      <c r="J119" s="233" t="s">
        <v>2116</v>
      </c>
      <c r="K119" s="234" t="s">
        <v>4322</v>
      </c>
      <c r="L119" s="214" t="s">
        <v>4978</v>
      </c>
      <c r="M119" s="214" t="s">
        <v>4671</v>
      </c>
      <c r="N119" s="230" t="s">
        <v>3941</v>
      </c>
    </row>
    <row r="120" spans="1:14">
      <c r="A120" s="233" t="s">
        <v>196</v>
      </c>
      <c r="B120" s="235" t="s">
        <v>393</v>
      </c>
      <c r="C120" s="235" t="s">
        <v>394</v>
      </c>
      <c r="D120" s="233" t="s">
        <v>546</v>
      </c>
      <c r="E120" s="233" t="s">
        <v>666</v>
      </c>
      <c r="F120" s="226" t="s">
        <v>1232</v>
      </c>
      <c r="G120" s="238" t="s">
        <v>1359</v>
      </c>
      <c r="H120" s="225" t="s">
        <v>957</v>
      </c>
      <c r="I120" s="214" t="s">
        <v>5289</v>
      </c>
      <c r="J120" s="233" t="s">
        <v>2117</v>
      </c>
      <c r="K120" s="234" t="s">
        <v>4323</v>
      </c>
      <c r="L120" s="214" t="s">
        <v>4979</v>
      </c>
      <c r="M120" s="214" t="s">
        <v>4672</v>
      </c>
      <c r="N120" s="230" t="s">
        <v>3942</v>
      </c>
    </row>
    <row r="121" spans="1:14">
      <c r="A121" s="240" t="s">
        <v>57</v>
      </c>
      <c r="B121" s="226" t="s">
        <v>395</v>
      </c>
      <c r="C121" s="226" t="s">
        <v>396</v>
      </c>
      <c r="D121" s="226" t="s">
        <v>547</v>
      </c>
      <c r="E121" s="226" t="s">
        <v>667</v>
      </c>
      <c r="F121" s="226" t="s">
        <v>3370</v>
      </c>
      <c r="G121" s="238" t="s">
        <v>1360</v>
      </c>
      <c r="H121" s="225" t="s">
        <v>958</v>
      </c>
      <c r="I121" s="216" t="s">
        <v>5290</v>
      </c>
      <c r="J121" s="233" t="s">
        <v>2118</v>
      </c>
      <c r="K121" s="241" t="s">
        <v>4324</v>
      </c>
      <c r="L121" s="216" t="s">
        <v>4980</v>
      </c>
      <c r="M121" s="216" t="s">
        <v>4673</v>
      </c>
      <c r="N121" s="230" t="s">
        <v>3943</v>
      </c>
    </row>
    <row r="122" spans="1:14">
      <c r="A122" s="240" t="s">
        <v>1637</v>
      </c>
      <c r="B122" s="226" t="s">
        <v>397</v>
      </c>
      <c r="C122" s="226" t="s">
        <v>1684</v>
      </c>
      <c r="D122" s="226" t="s">
        <v>548</v>
      </c>
      <c r="E122" s="226" t="s">
        <v>668</v>
      </c>
      <c r="F122" s="226" t="s">
        <v>1233</v>
      </c>
      <c r="G122" s="238" t="s">
        <v>1361</v>
      </c>
      <c r="H122" s="225" t="s">
        <v>959</v>
      </c>
      <c r="I122" s="216" t="s">
        <v>5291</v>
      </c>
      <c r="J122" s="233" t="s">
        <v>2119</v>
      </c>
      <c r="K122" s="241" t="s">
        <v>4325</v>
      </c>
      <c r="L122" s="216" t="s">
        <v>4981</v>
      </c>
      <c r="M122" s="216" t="s">
        <v>4674</v>
      </c>
      <c r="N122" s="230" t="s">
        <v>3944</v>
      </c>
    </row>
    <row r="123" spans="1:14">
      <c r="A123" s="240" t="s">
        <v>1635</v>
      </c>
      <c r="B123" s="226" t="s">
        <v>398</v>
      </c>
      <c r="C123" s="226" t="s">
        <v>1685</v>
      </c>
      <c r="D123" s="226" t="s">
        <v>549</v>
      </c>
      <c r="E123" s="226" t="s">
        <v>669</v>
      </c>
      <c r="F123" s="226" t="s">
        <v>1234</v>
      </c>
      <c r="G123" s="238" t="s">
        <v>1362</v>
      </c>
      <c r="H123" s="225" t="s">
        <v>960</v>
      </c>
      <c r="I123" s="216" t="s">
        <v>5292</v>
      </c>
      <c r="J123" s="233" t="s">
        <v>2120</v>
      </c>
      <c r="K123" s="241" t="s">
        <v>4326</v>
      </c>
      <c r="L123" s="216" t="s">
        <v>4982</v>
      </c>
      <c r="M123" s="216" t="s">
        <v>4675</v>
      </c>
      <c r="N123" s="230" t="s">
        <v>3945</v>
      </c>
    </row>
    <row r="124" spans="1:14">
      <c r="A124" s="240" t="s">
        <v>58</v>
      </c>
      <c r="B124" s="226" t="s">
        <v>399</v>
      </c>
      <c r="C124" s="226" t="s">
        <v>400</v>
      </c>
      <c r="D124" s="226" t="s">
        <v>550</v>
      </c>
      <c r="E124" s="226" t="s">
        <v>670</v>
      </c>
      <c r="F124" s="226" t="s">
        <v>1235</v>
      </c>
      <c r="G124" s="238" t="s">
        <v>1363</v>
      </c>
      <c r="H124" s="225" t="s">
        <v>961</v>
      </c>
      <c r="I124" s="216" t="s">
        <v>5293</v>
      </c>
      <c r="J124" s="233" t="s">
        <v>2121</v>
      </c>
      <c r="K124" s="241" t="s">
        <v>4327</v>
      </c>
      <c r="L124" s="216" t="s">
        <v>4983</v>
      </c>
      <c r="M124" s="216" t="s">
        <v>4676</v>
      </c>
      <c r="N124" s="230" t="s">
        <v>3946</v>
      </c>
    </row>
    <row r="125" spans="1:14">
      <c r="A125" s="240" t="s">
        <v>3731</v>
      </c>
      <c r="B125" s="226" t="s">
        <v>3733</v>
      </c>
      <c r="C125" s="226" t="s">
        <v>3734</v>
      </c>
      <c r="D125" s="226" t="s">
        <v>3735</v>
      </c>
      <c r="E125" s="226" t="s">
        <v>3736</v>
      </c>
      <c r="F125" s="226" t="s">
        <v>3737</v>
      </c>
      <c r="G125" s="238" t="s">
        <v>3738</v>
      </c>
      <c r="H125" s="225" t="s">
        <v>3739</v>
      </c>
      <c r="I125" s="216" t="s">
        <v>5294</v>
      </c>
      <c r="J125" s="233" t="s">
        <v>3740</v>
      </c>
      <c r="K125" s="241" t="s">
        <v>4328</v>
      </c>
      <c r="L125" s="216" t="s">
        <v>4984</v>
      </c>
      <c r="M125" s="216" t="s">
        <v>4677</v>
      </c>
      <c r="N125" s="230" t="s">
        <v>3947</v>
      </c>
    </row>
    <row r="126" spans="1:14">
      <c r="A126" s="240" t="s">
        <v>3732</v>
      </c>
      <c r="B126" s="226" t="s">
        <v>3741</v>
      </c>
      <c r="C126" s="226" t="s">
        <v>3742</v>
      </c>
      <c r="D126" s="226" t="s">
        <v>3743</v>
      </c>
      <c r="E126" s="226" t="s">
        <v>3744</v>
      </c>
      <c r="F126" s="226" t="s">
        <v>3745</v>
      </c>
      <c r="G126" s="238" t="s">
        <v>3746</v>
      </c>
      <c r="H126" s="225" t="s">
        <v>3747</v>
      </c>
      <c r="I126" s="216" t="s">
        <v>5295</v>
      </c>
      <c r="J126" s="233" t="s">
        <v>3748</v>
      </c>
      <c r="K126" s="241" t="s">
        <v>4329</v>
      </c>
      <c r="L126" s="216" t="s">
        <v>4985</v>
      </c>
      <c r="M126" s="216" t="s">
        <v>4678</v>
      </c>
      <c r="N126" s="230" t="s">
        <v>3948</v>
      </c>
    </row>
    <row r="127" spans="1:14">
      <c r="A127" s="240" t="s">
        <v>1652</v>
      </c>
      <c r="B127" s="226" t="s">
        <v>401</v>
      </c>
      <c r="C127" s="226" t="s">
        <v>402</v>
      </c>
      <c r="D127" s="226" t="s">
        <v>551</v>
      </c>
      <c r="E127" s="226" t="s">
        <v>671</v>
      </c>
      <c r="F127" s="226" t="s">
        <v>1236</v>
      </c>
      <c r="G127" s="238" t="s">
        <v>1364</v>
      </c>
      <c r="H127" s="225" t="s">
        <v>962</v>
      </c>
      <c r="I127" s="216" t="s">
        <v>5296</v>
      </c>
      <c r="J127" s="233" t="s">
        <v>2122</v>
      </c>
      <c r="K127" s="241" t="s">
        <v>4330</v>
      </c>
      <c r="L127" s="216" t="s">
        <v>4986</v>
      </c>
      <c r="M127" s="216" t="s">
        <v>4679</v>
      </c>
      <c r="N127" s="230" t="s">
        <v>3949</v>
      </c>
    </row>
    <row r="128" spans="1:14">
      <c r="A128" s="240" t="s">
        <v>59</v>
      </c>
      <c r="B128" s="226" t="s">
        <v>403</v>
      </c>
      <c r="C128" s="226" t="s">
        <v>404</v>
      </c>
      <c r="D128" s="226" t="s">
        <v>552</v>
      </c>
      <c r="E128" s="226" t="s">
        <v>672</v>
      </c>
      <c r="F128" s="226" t="s">
        <v>1237</v>
      </c>
      <c r="G128" s="238" t="s">
        <v>1365</v>
      </c>
      <c r="H128" s="225" t="s">
        <v>963</v>
      </c>
      <c r="I128" s="216" t="s">
        <v>5297</v>
      </c>
      <c r="J128" s="233" t="s">
        <v>2123</v>
      </c>
      <c r="K128" s="241" t="s">
        <v>4331</v>
      </c>
      <c r="L128" s="216" t="s">
        <v>4987</v>
      </c>
      <c r="M128" s="216" t="s">
        <v>4680</v>
      </c>
      <c r="N128" s="230" t="s">
        <v>3950</v>
      </c>
    </row>
    <row r="129" spans="1:14">
      <c r="A129" s="240" t="s">
        <v>60</v>
      </c>
      <c r="B129" s="226" t="s">
        <v>405</v>
      </c>
      <c r="C129" s="226" t="s">
        <v>406</v>
      </c>
      <c r="D129" s="226" t="s">
        <v>553</v>
      </c>
      <c r="E129" s="226" t="s">
        <v>673</v>
      </c>
      <c r="F129" s="226" t="s">
        <v>1238</v>
      </c>
      <c r="G129" s="238" t="s">
        <v>1366</v>
      </c>
      <c r="H129" s="225" t="s">
        <v>964</v>
      </c>
      <c r="I129" s="216" t="s">
        <v>5298</v>
      </c>
      <c r="J129" s="233" t="s">
        <v>2124</v>
      </c>
      <c r="K129" s="241" t="s">
        <v>4332</v>
      </c>
      <c r="L129" s="216" t="s">
        <v>4988</v>
      </c>
      <c r="M129" s="216" t="s">
        <v>4681</v>
      </c>
      <c r="N129" s="230" t="s">
        <v>3951</v>
      </c>
    </row>
    <row r="130" spans="1:14">
      <c r="A130" s="240" t="s">
        <v>61</v>
      </c>
      <c r="B130" s="226" t="s">
        <v>407</v>
      </c>
      <c r="C130" s="226" t="s">
        <v>408</v>
      </c>
      <c r="D130" s="226" t="s">
        <v>554</v>
      </c>
      <c r="E130" s="226" t="s">
        <v>674</v>
      </c>
      <c r="F130" s="226" t="s">
        <v>1239</v>
      </c>
      <c r="G130" s="238" t="s">
        <v>1367</v>
      </c>
      <c r="H130" s="225" t="s">
        <v>965</v>
      </c>
      <c r="I130" s="216" t="s">
        <v>5299</v>
      </c>
      <c r="J130" s="233" t="s">
        <v>2125</v>
      </c>
      <c r="K130" s="241" t="s">
        <v>4333</v>
      </c>
      <c r="L130" s="216" t="s">
        <v>4989</v>
      </c>
      <c r="M130" s="216" t="s">
        <v>4682</v>
      </c>
      <c r="N130" s="230" t="s">
        <v>3952</v>
      </c>
    </row>
    <row r="131" spans="1:14">
      <c r="A131" s="240" t="s">
        <v>62</v>
      </c>
      <c r="B131" s="226" t="s">
        <v>409</v>
      </c>
      <c r="C131" s="226" t="s">
        <v>410</v>
      </c>
      <c r="D131" s="226" t="s">
        <v>555</v>
      </c>
      <c r="E131" s="226" t="s">
        <v>675</v>
      </c>
      <c r="F131" s="226" t="s">
        <v>1240</v>
      </c>
      <c r="G131" s="238" t="s">
        <v>1368</v>
      </c>
      <c r="H131" s="225" t="s">
        <v>966</v>
      </c>
      <c r="I131" s="216" t="s">
        <v>5300</v>
      </c>
      <c r="J131" s="233" t="s">
        <v>2126</v>
      </c>
      <c r="K131" s="241" t="s">
        <v>4334</v>
      </c>
      <c r="L131" s="216" t="s">
        <v>4990</v>
      </c>
      <c r="M131" s="216" t="s">
        <v>4683</v>
      </c>
      <c r="N131" s="230" t="s">
        <v>3953</v>
      </c>
    </row>
    <row r="132" spans="1:14">
      <c r="A132" s="240" t="s">
        <v>63</v>
      </c>
      <c r="B132" s="226" t="s">
        <v>411</v>
      </c>
      <c r="C132" s="226" t="s">
        <v>412</v>
      </c>
      <c r="D132" s="226" t="s">
        <v>556</v>
      </c>
      <c r="E132" s="226" t="s">
        <v>676</v>
      </c>
      <c r="F132" s="226" t="s">
        <v>1241</v>
      </c>
      <c r="G132" s="238" t="s">
        <v>1369</v>
      </c>
      <c r="H132" s="225" t="s">
        <v>967</v>
      </c>
      <c r="I132" s="216" t="s">
        <v>5301</v>
      </c>
      <c r="J132" s="233" t="s">
        <v>2127</v>
      </c>
      <c r="K132" s="241" t="s">
        <v>4335</v>
      </c>
      <c r="L132" s="216" t="s">
        <v>4991</v>
      </c>
      <c r="M132" s="216" t="s">
        <v>4684</v>
      </c>
      <c r="N132" s="230" t="s">
        <v>3954</v>
      </c>
    </row>
    <row r="133" spans="1:14">
      <c r="A133" s="240" t="s">
        <v>64</v>
      </c>
      <c r="B133" s="226" t="s">
        <v>413</v>
      </c>
      <c r="C133" s="226" t="s">
        <v>414</v>
      </c>
      <c r="D133" s="226" t="s">
        <v>557</v>
      </c>
      <c r="E133" s="226" t="s">
        <v>677</v>
      </c>
      <c r="F133" s="226" t="s">
        <v>1242</v>
      </c>
      <c r="G133" s="238" t="s">
        <v>1370</v>
      </c>
      <c r="H133" s="225" t="s">
        <v>968</v>
      </c>
      <c r="I133" s="216" t="s">
        <v>5302</v>
      </c>
      <c r="J133" s="233" t="s">
        <v>2128</v>
      </c>
      <c r="K133" s="241" t="s">
        <v>4336</v>
      </c>
      <c r="L133" s="216" t="s">
        <v>4992</v>
      </c>
      <c r="M133" s="216" t="s">
        <v>4685</v>
      </c>
      <c r="N133" s="230" t="s">
        <v>3955</v>
      </c>
    </row>
    <row r="134" spans="1:14">
      <c r="A134" s="240" t="s">
        <v>65</v>
      </c>
      <c r="B134" s="226" t="s">
        <v>415</v>
      </c>
      <c r="C134" s="226" t="s">
        <v>416</v>
      </c>
      <c r="D134" s="226" t="s">
        <v>558</v>
      </c>
      <c r="E134" s="226" t="s">
        <v>678</v>
      </c>
      <c r="F134" s="226" t="s">
        <v>1243</v>
      </c>
      <c r="G134" s="238" t="s">
        <v>1371</v>
      </c>
      <c r="H134" s="225" t="s">
        <v>969</v>
      </c>
      <c r="I134" s="216" t="s">
        <v>5303</v>
      </c>
      <c r="J134" s="233" t="s">
        <v>2125</v>
      </c>
      <c r="K134" s="241" t="s">
        <v>4337</v>
      </c>
      <c r="L134" s="216" t="s">
        <v>4993</v>
      </c>
      <c r="M134" s="216" t="s">
        <v>4686</v>
      </c>
      <c r="N134" s="230" t="s">
        <v>3956</v>
      </c>
    </row>
    <row r="135" spans="1:14">
      <c r="A135" s="240" t="s">
        <v>66</v>
      </c>
      <c r="B135" s="226" t="s">
        <v>417</v>
      </c>
      <c r="C135" s="226" t="s">
        <v>418</v>
      </c>
      <c r="D135" s="226" t="s">
        <v>559</v>
      </c>
      <c r="E135" s="226" t="s">
        <v>679</v>
      </c>
      <c r="F135" s="226" t="s">
        <v>1244</v>
      </c>
      <c r="G135" s="238" t="s">
        <v>1372</v>
      </c>
      <c r="H135" s="225" t="s">
        <v>970</v>
      </c>
      <c r="I135" s="216" t="s">
        <v>5304</v>
      </c>
      <c r="J135" s="233" t="s">
        <v>2129</v>
      </c>
      <c r="K135" s="241" t="s">
        <v>4338</v>
      </c>
      <c r="L135" s="216" t="s">
        <v>4994</v>
      </c>
      <c r="M135" s="216" t="s">
        <v>4687</v>
      </c>
      <c r="N135" s="230" t="s">
        <v>3957</v>
      </c>
    </row>
    <row r="136" spans="1:14">
      <c r="A136" s="240" t="s">
        <v>67</v>
      </c>
      <c r="B136" s="226" t="s">
        <v>419</v>
      </c>
      <c r="C136" s="226" t="s">
        <v>420</v>
      </c>
      <c r="D136" s="226" t="s">
        <v>560</v>
      </c>
      <c r="E136" s="226" t="s">
        <v>680</v>
      </c>
      <c r="F136" s="226" t="s">
        <v>1245</v>
      </c>
      <c r="G136" s="238" t="s">
        <v>1373</v>
      </c>
      <c r="H136" s="225" t="s">
        <v>971</v>
      </c>
      <c r="I136" s="216" t="s">
        <v>5305</v>
      </c>
      <c r="J136" s="233" t="s">
        <v>2130</v>
      </c>
      <c r="K136" s="241" t="s">
        <v>4339</v>
      </c>
      <c r="L136" s="216" t="s">
        <v>4995</v>
      </c>
      <c r="M136" s="216" t="s">
        <v>4688</v>
      </c>
      <c r="N136" s="230" t="s">
        <v>3958</v>
      </c>
    </row>
    <row r="137" spans="1:14">
      <c r="A137" s="240" t="s">
        <v>68</v>
      </c>
      <c r="B137" s="226" t="s">
        <v>421</v>
      </c>
      <c r="C137" s="226" t="s">
        <v>422</v>
      </c>
      <c r="D137" s="226" t="s">
        <v>561</v>
      </c>
      <c r="E137" s="226" t="s">
        <v>681</v>
      </c>
      <c r="F137" s="226" t="s">
        <v>1246</v>
      </c>
      <c r="G137" s="238" t="s">
        <v>1374</v>
      </c>
      <c r="H137" s="225" t="s">
        <v>972</v>
      </c>
      <c r="I137" s="216" t="s">
        <v>5306</v>
      </c>
      <c r="J137" s="233" t="s">
        <v>2131</v>
      </c>
      <c r="K137" s="241" t="s">
        <v>4340</v>
      </c>
      <c r="L137" s="216" t="s">
        <v>4996</v>
      </c>
      <c r="M137" s="216" t="s">
        <v>4689</v>
      </c>
      <c r="N137" s="230" t="s">
        <v>3959</v>
      </c>
    </row>
    <row r="138" spans="1:14">
      <c r="A138" s="240" t="s">
        <v>69</v>
      </c>
      <c r="B138" s="226" t="s">
        <v>423</v>
      </c>
      <c r="C138" s="226" t="s">
        <v>424</v>
      </c>
      <c r="D138" s="226" t="s">
        <v>562</v>
      </c>
      <c r="E138" s="226" t="s">
        <v>682</v>
      </c>
      <c r="F138" s="226" t="s">
        <v>1247</v>
      </c>
      <c r="G138" s="238" t="s">
        <v>1375</v>
      </c>
      <c r="H138" s="225" t="s">
        <v>973</v>
      </c>
      <c r="I138" s="216" t="s">
        <v>5307</v>
      </c>
      <c r="J138" s="233" t="s">
        <v>2132</v>
      </c>
      <c r="K138" s="241" t="s">
        <v>4341</v>
      </c>
      <c r="L138" s="216" t="s">
        <v>4997</v>
      </c>
      <c r="M138" s="216" t="s">
        <v>4690</v>
      </c>
      <c r="N138" s="230" t="s">
        <v>3960</v>
      </c>
    </row>
    <row r="139" spans="1:14">
      <c r="A139" s="240" t="s">
        <v>70</v>
      </c>
      <c r="B139" s="226" t="s">
        <v>425</v>
      </c>
      <c r="C139" s="226" t="s">
        <v>426</v>
      </c>
      <c r="D139" s="226" t="s">
        <v>563</v>
      </c>
      <c r="E139" s="226" t="s">
        <v>683</v>
      </c>
      <c r="F139" s="226" t="s">
        <v>1248</v>
      </c>
      <c r="G139" s="238" t="s">
        <v>1376</v>
      </c>
      <c r="H139" s="225" t="s">
        <v>974</v>
      </c>
      <c r="I139" s="216" t="s">
        <v>5308</v>
      </c>
      <c r="J139" s="233" t="s">
        <v>2133</v>
      </c>
      <c r="K139" s="241" t="s">
        <v>4342</v>
      </c>
      <c r="L139" s="216" t="s">
        <v>4998</v>
      </c>
      <c r="M139" s="216" t="s">
        <v>4691</v>
      </c>
      <c r="N139" s="230" t="s">
        <v>3961</v>
      </c>
    </row>
    <row r="140" spans="1:14">
      <c r="A140" s="240" t="s">
        <v>71</v>
      </c>
      <c r="B140" s="226" t="s">
        <v>427</v>
      </c>
      <c r="C140" s="226" t="s">
        <v>428</v>
      </c>
      <c r="D140" s="226" t="s">
        <v>564</v>
      </c>
      <c r="E140" s="226" t="s">
        <v>684</v>
      </c>
      <c r="F140" s="226" t="s">
        <v>1249</v>
      </c>
      <c r="G140" s="238" t="s">
        <v>1377</v>
      </c>
      <c r="H140" s="225" t="s">
        <v>975</v>
      </c>
      <c r="I140" s="216" t="s">
        <v>5309</v>
      </c>
      <c r="J140" s="233" t="s">
        <v>2134</v>
      </c>
      <c r="K140" s="241" t="s">
        <v>4343</v>
      </c>
      <c r="L140" s="216" t="s">
        <v>4999</v>
      </c>
      <c r="M140" s="216" t="s">
        <v>4692</v>
      </c>
      <c r="N140" s="230" t="s">
        <v>3962</v>
      </c>
    </row>
    <row r="141" spans="1:14">
      <c r="A141" s="240" t="s">
        <v>72</v>
      </c>
      <c r="B141" s="226" t="s">
        <v>429</v>
      </c>
      <c r="C141" s="226" t="s">
        <v>430</v>
      </c>
      <c r="D141" s="226" t="s">
        <v>565</v>
      </c>
      <c r="E141" s="226" t="s">
        <v>685</v>
      </c>
      <c r="F141" s="226" t="s">
        <v>1250</v>
      </c>
      <c r="G141" s="238" t="s">
        <v>1378</v>
      </c>
      <c r="H141" s="225" t="s">
        <v>976</v>
      </c>
      <c r="I141" s="216" t="s">
        <v>5310</v>
      </c>
      <c r="J141" s="233" t="s">
        <v>2135</v>
      </c>
      <c r="K141" s="241" t="s">
        <v>4344</v>
      </c>
      <c r="L141" s="216" t="s">
        <v>5000</v>
      </c>
      <c r="M141" s="216" t="s">
        <v>4693</v>
      </c>
      <c r="N141" s="230" t="s">
        <v>3963</v>
      </c>
    </row>
    <row r="142" spans="1:14">
      <c r="A142" s="240" t="s">
        <v>73</v>
      </c>
      <c r="B142" s="226" t="s">
        <v>431</v>
      </c>
      <c r="C142" s="226" t="s">
        <v>432</v>
      </c>
      <c r="D142" s="226" t="s">
        <v>566</v>
      </c>
      <c r="E142" s="226" t="s">
        <v>686</v>
      </c>
      <c r="F142" s="226" t="s">
        <v>1251</v>
      </c>
      <c r="G142" s="238" t="s">
        <v>1379</v>
      </c>
      <c r="H142" s="225" t="s">
        <v>977</v>
      </c>
      <c r="I142" s="216" t="s">
        <v>5311</v>
      </c>
      <c r="J142" s="233" t="s">
        <v>2136</v>
      </c>
      <c r="K142" s="241" t="s">
        <v>4345</v>
      </c>
      <c r="L142" s="216" t="s">
        <v>5001</v>
      </c>
      <c r="M142" s="216" t="s">
        <v>4694</v>
      </c>
      <c r="N142" s="230" t="s">
        <v>3964</v>
      </c>
    </row>
    <row r="143" spans="1:14">
      <c r="A143" s="240" t="s">
        <v>74</v>
      </c>
      <c r="B143" s="226" t="s">
        <v>433</v>
      </c>
      <c r="C143" s="226" t="s">
        <v>434</v>
      </c>
      <c r="D143" s="226" t="s">
        <v>567</v>
      </c>
      <c r="E143" s="226" t="s">
        <v>687</v>
      </c>
      <c r="F143" s="226" t="s">
        <v>3371</v>
      </c>
      <c r="G143" s="238" t="s">
        <v>1380</v>
      </c>
      <c r="H143" s="225" t="s">
        <v>978</v>
      </c>
      <c r="I143" s="216" t="s">
        <v>5312</v>
      </c>
      <c r="J143" s="233" t="s">
        <v>2137</v>
      </c>
      <c r="K143" s="241" t="s">
        <v>4346</v>
      </c>
      <c r="L143" s="216" t="s">
        <v>5002</v>
      </c>
      <c r="M143" s="216" t="s">
        <v>4695</v>
      </c>
      <c r="N143" s="230" t="s">
        <v>3965</v>
      </c>
    </row>
    <row r="144" spans="1:14">
      <c r="A144" s="240" t="s">
        <v>75</v>
      </c>
      <c r="B144" s="226" t="s">
        <v>435</v>
      </c>
      <c r="C144" s="226" t="s">
        <v>436</v>
      </c>
      <c r="D144" s="226" t="s">
        <v>568</v>
      </c>
      <c r="E144" s="226" t="s">
        <v>688</v>
      </c>
      <c r="F144" s="226" t="s">
        <v>1252</v>
      </c>
      <c r="G144" s="238" t="s">
        <v>1381</v>
      </c>
      <c r="H144" s="225" t="s">
        <v>979</v>
      </c>
      <c r="I144" s="216" t="s">
        <v>5313</v>
      </c>
      <c r="J144" s="233" t="s">
        <v>2138</v>
      </c>
      <c r="K144" s="241" t="s">
        <v>4347</v>
      </c>
      <c r="L144" s="216" t="s">
        <v>5003</v>
      </c>
      <c r="M144" s="216" t="s">
        <v>4696</v>
      </c>
      <c r="N144" s="230" t="s">
        <v>3966</v>
      </c>
    </row>
    <row r="145" spans="1:14">
      <c r="A145" s="240" t="s">
        <v>76</v>
      </c>
      <c r="B145" s="226" t="s">
        <v>437</v>
      </c>
      <c r="C145" s="226" t="s">
        <v>438</v>
      </c>
      <c r="D145" s="226" t="s">
        <v>569</v>
      </c>
      <c r="E145" s="226" t="s">
        <v>689</v>
      </c>
      <c r="F145" s="226" t="s">
        <v>1253</v>
      </c>
      <c r="G145" s="238" t="s">
        <v>1382</v>
      </c>
      <c r="H145" s="225" t="s">
        <v>980</v>
      </c>
      <c r="I145" s="216" t="s">
        <v>5314</v>
      </c>
      <c r="J145" s="233" t="s">
        <v>2139</v>
      </c>
      <c r="K145" s="241" t="s">
        <v>4348</v>
      </c>
      <c r="L145" s="216" t="s">
        <v>5004</v>
      </c>
      <c r="M145" s="216" t="s">
        <v>4697</v>
      </c>
      <c r="N145" s="230" t="s">
        <v>3967</v>
      </c>
    </row>
    <row r="146" spans="1:14">
      <c r="A146" s="240" t="s">
        <v>77</v>
      </c>
      <c r="B146" s="226" t="s">
        <v>439</v>
      </c>
      <c r="C146" s="226" t="s">
        <v>440</v>
      </c>
      <c r="D146" s="226" t="s">
        <v>570</v>
      </c>
      <c r="E146" s="226" t="s">
        <v>77</v>
      </c>
      <c r="F146" s="226" t="s">
        <v>1254</v>
      </c>
      <c r="G146" s="238" t="s">
        <v>1383</v>
      </c>
      <c r="H146" s="225" t="s">
        <v>981</v>
      </c>
      <c r="I146" s="216" t="s">
        <v>5315</v>
      </c>
      <c r="J146" s="233" t="s">
        <v>2140</v>
      </c>
      <c r="K146" s="241" t="s">
        <v>4349</v>
      </c>
      <c r="L146" s="216" t="s">
        <v>4698</v>
      </c>
      <c r="M146" s="216" t="s">
        <v>4698</v>
      </c>
      <c r="N146" s="230" t="s">
        <v>3968</v>
      </c>
    </row>
    <row r="147" spans="1:14">
      <c r="A147" s="240" t="s">
        <v>78</v>
      </c>
      <c r="B147" s="226" t="s">
        <v>441</v>
      </c>
      <c r="C147" s="226" t="s">
        <v>442</v>
      </c>
      <c r="D147" s="226" t="s">
        <v>571</v>
      </c>
      <c r="E147" s="226" t="s">
        <v>78</v>
      </c>
      <c r="F147" s="226" t="s">
        <v>1255</v>
      </c>
      <c r="G147" s="238" t="s">
        <v>1384</v>
      </c>
      <c r="H147" s="225" t="s">
        <v>982</v>
      </c>
      <c r="I147" s="216" t="s">
        <v>5316</v>
      </c>
      <c r="J147" s="233" t="s">
        <v>2141</v>
      </c>
      <c r="K147" s="241" t="s">
        <v>4350</v>
      </c>
      <c r="L147" s="216" t="s">
        <v>5005</v>
      </c>
      <c r="M147" s="216" t="s">
        <v>4699</v>
      </c>
      <c r="N147" s="230" t="s">
        <v>3969</v>
      </c>
    </row>
    <row r="148" spans="1:14">
      <c r="A148" s="240" t="s">
        <v>79</v>
      </c>
      <c r="B148" s="226" t="s">
        <v>443</v>
      </c>
      <c r="C148" s="226" t="s">
        <v>444</v>
      </c>
      <c r="D148" s="226" t="s">
        <v>572</v>
      </c>
      <c r="E148" s="226" t="s">
        <v>690</v>
      </c>
      <c r="F148" s="226" t="s">
        <v>3372</v>
      </c>
      <c r="G148" s="238" t="s">
        <v>1385</v>
      </c>
      <c r="H148" s="225" t="s">
        <v>983</v>
      </c>
      <c r="I148" s="216" t="s">
        <v>5317</v>
      </c>
      <c r="J148" s="233" t="s">
        <v>2142</v>
      </c>
      <c r="K148" s="241" t="s">
        <v>4351</v>
      </c>
      <c r="L148" s="216" t="s">
        <v>5006</v>
      </c>
      <c r="M148" s="216" t="s">
        <v>4700</v>
      </c>
      <c r="N148" s="230" t="s">
        <v>3970</v>
      </c>
    </row>
    <row r="149" spans="1:14">
      <c r="A149" s="225" t="s">
        <v>695</v>
      </c>
      <c r="B149" s="226" t="s">
        <v>696</v>
      </c>
      <c r="C149" s="226" t="s">
        <v>697</v>
      </c>
      <c r="D149" s="226" t="s">
        <v>698</v>
      </c>
      <c r="E149" s="226" t="s">
        <v>699</v>
      </c>
      <c r="F149" s="226" t="s">
        <v>3373</v>
      </c>
      <c r="G149" s="238" t="s">
        <v>1386</v>
      </c>
      <c r="H149" s="225" t="s">
        <v>1136</v>
      </c>
      <c r="I149" s="212" t="s">
        <v>5318</v>
      </c>
      <c r="J149" s="233" t="s">
        <v>2143</v>
      </c>
      <c r="K149" s="229" t="s">
        <v>4352</v>
      </c>
      <c r="L149" s="212" t="s">
        <v>5007</v>
      </c>
      <c r="M149" s="212" t="s">
        <v>4701</v>
      </c>
      <c r="N149" s="230" t="s">
        <v>3971</v>
      </c>
    </row>
    <row r="150" spans="1:14">
      <c r="A150" s="238" t="s">
        <v>204</v>
      </c>
      <c r="B150" s="235" t="s">
        <v>445</v>
      </c>
      <c r="C150" s="235" t="s">
        <v>446</v>
      </c>
      <c r="D150" s="233" t="s">
        <v>573</v>
      </c>
      <c r="E150" s="233" t="s">
        <v>691</v>
      </c>
      <c r="F150" s="226" t="s">
        <v>1256</v>
      </c>
      <c r="G150" s="238" t="s">
        <v>1387</v>
      </c>
      <c r="H150" s="225" t="s">
        <v>984</v>
      </c>
      <c r="I150" s="217" t="s">
        <v>5319</v>
      </c>
      <c r="J150" s="233" t="s">
        <v>2144</v>
      </c>
      <c r="K150" s="239" t="s">
        <v>4353</v>
      </c>
      <c r="L150" s="217" t="s">
        <v>4702</v>
      </c>
      <c r="M150" s="217" t="s">
        <v>4702</v>
      </c>
      <c r="N150" s="230" t="s">
        <v>3972</v>
      </c>
    </row>
    <row r="151" spans="1:14">
      <c r="A151" s="240" t="s">
        <v>205</v>
      </c>
      <c r="B151" s="226" t="s">
        <v>447</v>
      </c>
      <c r="C151" s="226" t="s">
        <v>448</v>
      </c>
      <c r="D151" s="63" t="s">
        <v>574</v>
      </c>
      <c r="E151" s="63" t="s">
        <v>692</v>
      </c>
      <c r="F151" s="226" t="s">
        <v>1257</v>
      </c>
      <c r="G151" s="238" t="s">
        <v>1388</v>
      </c>
      <c r="H151" s="225" t="s">
        <v>985</v>
      </c>
      <c r="I151" s="216" t="s">
        <v>5320</v>
      </c>
      <c r="J151" s="233" t="s">
        <v>2145</v>
      </c>
      <c r="K151" s="241" t="s">
        <v>4354</v>
      </c>
      <c r="L151" s="216" t="s">
        <v>5008</v>
      </c>
      <c r="M151" s="216" t="s">
        <v>4703</v>
      </c>
      <c r="N151" s="230" t="s">
        <v>3973</v>
      </c>
    </row>
    <row r="152" spans="1:14">
      <c r="A152" s="225" t="s">
        <v>206</v>
      </c>
      <c r="B152" s="226" t="s">
        <v>449</v>
      </c>
      <c r="C152" s="226" t="s">
        <v>450</v>
      </c>
      <c r="D152" s="226" t="s">
        <v>575</v>
      </c>
      <c r="E152" s="226" t="s">
        <v>693</v>
      </c>
      <c r="F152" s="226" t="s">
        <v>1258</v>
      </c>
      <c r="G152" s="238" t="s">
        <v>1389</v>
      </c>
      <c r="H152" s="225" t="s">
        <v>693</v>
      </c>
      <c r="I152" s="212" t="s">
        <v>5321</v>
      </c>
      <c r="J152" s="233" t="s">
        <v>2146</v>
      </c>
      <c r="K152" s="229" t="s">
        <v>4355</v>
      </c>
      <c r="L152" s="212" t="s">
        <v>4704</v>
      </c>
      <c r="M152" s="212" t="s">
        <v>4704</v>
      </c>
      <c r="N152" s="230" t="s">
        <v>3974</v>
      </c>
    </row>
    <row r="153" spans="1:14" s="230" customFormat="1">
      <c r="A153" s="230" t="s">
        <v>830</v>
      </c>
      <c r="B153" s="230" t="s">
        <v>831</v>
      </c>
      <c r="C153" s="230" t="s">
        <v>832</v>
      </c>
      <c r="D153" s="230" t="s">
        <v>833</v>
      </c>
      <c r="E153" s="230" t="s">
        <v>834</v>
      </c>
      <c r="F153" s="230" t="s">
        <v>3374</v>
      </c>
      <c r="G153" s="230" t="s">
        <v>1390</v>
      </c>
      <c r="H153" s="230" t="s">
        <v>986</v>
      </c>
      <c r="I153" s="218" t="s">
        <v>5322</v>
      </c>
      <c r="J153" s="242" t="s">
        <v>2147</v>
      </c>
      <c r="K153" s="243" t="s">
        <v>4356</v>
      </c>
      <c r="L153" s="218" t="s">
        <v>5009</v>
      </c>
      <c r="M153" s="218" t="s">
        <v>4705</v>
      </c>
      <c r="N153" s="230" t="s">
        <v>3975</v>
      </c>
    </row>
    <row r="154" spans="1:14">
      <c r="A154" s="225" t="s">
        <v>835</v>
      </c>
      <c r="B154" s="226" t="s">
        <v>836</v>
      </c>
      <c r="C154" s="226" t="s">
        <v>837</v>
      </c>
      <c r="D154" s="226" t="s">
        <v>838</v>
      </c>
      <c r="E154" s="226" t="s">
        <v>839</v>
      </c>
      <c r="F154" s="226" t="s">
        <v>1259</v>
      </c>
      <c r="G154" s="225" t="s">
        <v>1391</v>
      </c>
      <c r="H154" s="225" t="s">
        <v>987</v>
      </c>
      <c r="I154" s="212" t="s">
        <v>5323</v>
      </c>
      <c r="J154" s="233" t="s">
        <v>2148</v>
      </c>
      <c r="K154" s="229" t="s">
        <v>4357</v>
      </c>
      <c r="L154" s="212" t="s">
        <v>5010</v>
      </c>
      <c r="M154" s="212" t="s">
        <v>4706</v>
      </c>
      <c r="N154" s="230" t="s">
        <v>3976</v>
      </c>
    </row>
    <row r="155" spans="1:14" s="226" customFormat="1">
      <c r="A155" s="226" t="s">
        <v>3010</v>
      </c>
      <c r="B155" s="244" t="s">
        <v>3657</v>
      </c>
      <c r="C155" s="226" t="s">
        <v>3658</v>
      </c>
      <c r="D155" s="226" t="s">
        <v>3659</v>
      </c>
      <c r="E155" s="226" t="s">
        <v>3660</v>
      </c>
      <c r="F155" s="226" t="s">
        <v>3661</v>
      </c>
      <c r="G155" s="233" t="s">
        <v>3662</v>
      </c>
      <c r="H155" s="226" t="s">
        <v>3663</v>
      </c>
      <c r="I155" s="213" t="s">
        <v>5324</v>
      </c>
      <c r="J155" s="233" t="s">
        <v>3664</v>
      </c>
      <c r="K155" s="227" t="s">
        <v>4358</v>
      </c>
      <c r="L155" s="213" t="s">
        <v>5011</v>
      </c>
      <c r="M155" s="213" t="s">
        <v>4707</v>
      </c>
      <c r="N155" s="230" t="s">
        <v>3977</v>
      </c>
    </row>
    <row r="156" spans="1:14">
      <c r="A156" s="226">
        <v>250</v>
      </c>
      <c r="B156" s="244">
        <v>250</v>
      </c>
      <c r="C156" s="226" t="s">
        <v>800</v>
      </c>
      <c r="D156" s="226">
        <v>250</v>
      </c>
      <c r="E156" s="226">
        <v>250</v>
      </c>
      <c r="F156" s="226">
        <v>250</v>
      </c>
      <c r="G156" s="226">
        <v>250</v>
      </c>
      <c r="H156" s="226">
        <v>250</v>
      </c>
      <c r="I156" s="219">
        <v>250</v>
      </c>
      <c r="J156" s="226">
        <v>250</v>
      </c>
      <c r="K156" s="227">
        <v>250</v>
      </c>
      <c r="L156" s="219">
        <v>250</v>
      </c>
      <c r="M156" s="219">
        <v>250</v>
      </c>
      <c r="N156" s="230" t="s">
        <v>3978</v>
      </c>
    </row>
    <row r="157" spans="1:14">
      <c r="A157" s="226">
        <v>280</v>
      </c>
      <c r="B157" s="244">
        <v>280</v>
      </c>
      <c r="C157" s="226" t="s">
        <v>801</v>
      </c>
      <c r="D157" s="226">
        <v>280</v>
      </c>
      <c r="E157" s="226">
        <v>280</v>
      </c>
      <c r="F157" s="226">
        <v>280</v>
      </c>
      <c r="G157" s="226">
        <v>280</v>
      </c>
      <c r="H157" s="226">
        <v>280</v>
      </c>
      <c r="I157" s="219">
        <v>280</v>
      </c>
      <c r="J157" s="226">
        <v>280</v>
      </c>
      <c r="K157" s="227">
        <v>280</v>
      </c>
      <c r="L157" s="219">
        <v>280</v>
      </c>
      <c r="M157" s="219">
        <v>280</v>
      </c>
      <c r="N157" s="230" t="s">
        <v>3979</v>
      </c>
    </row>
    <row r="158" spans="1:14">
      <c r="A158" s="226">
        <v>333</v>
      </c>
      <c r="B158" s="244">
        <v>333</v>
      </c>
      <c r="C158" s="226" t="s">
        <v>820</v>
      </c>
      <c r="D158" s="226">
        <v>333</v>
      </c>
      <c r="E158" s="226">
        <v>333</v>
      </c>
      <c r="F158" s="226">
        <v>333</v>
      </c>
      <c r="G158" s="226">
        <v>333</v>
      </c>
      <c r="H158" s="226">
        <v>333</v>
      </c>
      <c r="I158" s="219">
        <v>333</v>
      </c>
      <c r="J158" s="226">
        <v>333</v>
      </c>
      <c r="K158" s="227">
        <v>333</v>
      </c>
      <c r="L158" s="219">
        <v>333</v>
      </c>
      <c r="M158" s="219">
        <v>333</v>
      </c>
      <c r="N158" s="230" t="s">
        <v>3980</v>
      </c>
    </row>
    <row r="159" spans="1:14">
      <c r="A159" s="226">
        <v>400</v>
      </c>
      <c r="B159" s="244">
        <v>400</v>
      </c>
      <c r="C159" s="226" t="s">
        <v>802</v>
      </c>
      <c r="D159" s="226">
        <v>400</v>
      </c>
      <c r="E159" s="226">
        <v>400</v>
      </c>
      <c r="F159" s="226">
        <v>400</v>
      </c>
      <c r="G159" s="226">
        <v>400</v>
      </c>
      <c r="H159" s="226">
        <v>400</v>
      </c>
      <c r="I159" s="219">
        <v>400</v>
      </c>
      <c r="J159" s="226">
        <v>400</v>
      </c>
      <c r="K159" s="227">
        <v>400</v>
      </c>
      <c r="L159" s="219">
        <v>400</v>
      </c>
      <c r="M159" s="219">
        <v>400</v>
      </c>
      <c r="N159" s="230" t="s">
        <v>3981</v>
      </c>
    </row>
    <row r="160" spans="1:14">
      <c r="A160" s="226">
        <v>500</v>
      </c>
      <c r="B160" s="244">
        <v>500</v>
      </c>
      <c r="C160" s="226" t="s">
        <v>803</v>
      </c>
      <c r="D160" s="226">
        <v>500</v>
      </c>
      <c r="E160" s="226">
        <v>500</v>
      </c>
      <c r="F160" s="226">
        <v>500</v>
      </c>
      <c r="G160" s="226">
        <v>500</v>
      </c>
      <c r="H160" s="226">
        <v>500</v>
      </c>
      <c r="I160" s="219">
        <v>500</v>
      </c>
      <c r="J160" s="226">
        <v>500</v>
      </c>
      <c r="K160" s="227">
        <v>500</v>
      </c>
      <c r="L160" s="219">
        <v>500</v>
      </c>
      <c r="M160" s="219">
        <v>500</v>
      </c>
      <c r="N160" s="230" t="s">
        <v>3982</v>
      </c>
    </row>
    <row r="161" spans="1:14">
      <c r="A161" s="226" t="s">
        <v>817</v>
      </c>
      <c r="B161" s="244" t="s">
        <v>1686</v>
      </c>
      <c r="C161" s="226" t="s">
        <v>1687</v>
      </c>
      <c r="D161" s="226" t="s">
        <v>3188</v>
      </c>
      <c r="E161" s="226" t="s">
        <v>3032</v>
      </c>
      <c r="F161" s="226" t="s">
        <v>3375</v>
      </c>
      <c r="G161" s="226" t="s">
        <v>1392</v>
      </c>
      <c r="H161" s="226" t="s">
        <v>988</v>
      </c>
      <c r="I161" s="213" t="s">
        <v>5325</v>
      </c>
      <c r="J161" s="226" t="s">
        <v>2149</v>
      </c>
      <c r="K161" s="227" t="s">
        <v>4359</v>
      </c>
      <c r="L161" s="213" t="s">
        <v>5012</v>
      </c>
      <c r="M161" s="213" t="s">
        <v>4708</v>
      </c>
      <c r="N161" s="230" t="s">
        <v>3983</v>
      </c>
    </row>
    <row r="162" spans="1:14">
      <c r="A162" s="226" t="s">
        <v>707</v>
      </c>
      <c r="B162" s="244" t="s">
        <v>1688</v>
      </c>
      <c r="C162" s="226" t="s">
        <v>1689</v>
      </c>
      <c r="D162" s="226" t="s">
        <v>3189</v>
      </c>
      <c r="E162" s="226" t="s">
        <v>707</v>
      </c>
      <c r="F162" s="226" t="s">
        <v>1688</v>
      </c>
      <c r="G162" s="226" t="s">
        <v>707</v>
      </c>
      <c r="H162" s="226" t="s">
        <v>707</v>
      </c>
      <c r="I162" s="213" t="s">
        <v>5326</v>
      </c>
      <c r="J162" s="226" t="s">
        <v>707</v>
      </c>
      <c r="K162" s="227" t="s">
        <v>4360</v>
      </c>
      <c r="L162" s="213" t="s">
        <v>4360</v>
      </c>
      <c r="M162" s="213" t="s">
        <v>4709</v>
      </c>
      <c r="N162" s="230" t="s">
        <v>3984</v>
      </c>
    </row>
    <row r="163" spans="1:14">
      <c r="A163" s="226" t="s">
        <v>1683</v>
      </c>
      <c r="B163" s="244" t="s">
        <v>1690</v>
      </c>
      <c r="C163" s="226" t="s">
        <v>1691</v>
      </c>
      <c r="D163" s="226" t="s">
        <v>3190</v>
      </c>
      <c r="E163" s="226" t="s">
        <v>3033</v>
      </c>
      <c r="F163" s="226" t="s">
        <v>3376</v>
      </c>
      <c r="G163" s="226" t="s">
        <v>1393</v>
      </c>
      <c r="H163" s="226" t="s">
        <v>989</v>
      </c>
      <c r="I163" s="213" t="s">
        <v>5327</v>
      </c>
      <c r="J163" s="245" t="s">
        <v>2150</v>
      </c>
      <c r="K163" s="227" t="s">
        <v>4361</v>
      </c>
      <c r="L163" s="213" t="s">
        <v>5013</v>
      </c>
      <c r="M163" s="213" t="s">
        <v>4710</v>
      </c>
      <c r="N163" s="230" t="s">
        <v>3985</v>
      </c>
    </row>
    <row r="164" spans="1:14">
      <c r="A164" s="226" t="s">
        <v>1603</v>
      </c>
      <c r="B164" s="244" t="s">
        <v>1603</v>
      </c>
      <c r="C164" s="226" t="s">
        <v>1692</v>
      </c>
      <c r="D164" s="226" t="s">
        <v>2151</v>
      </c>
      <c r="E164" s="226" t="s">
        <v>2151</v>
      </c>
      <c r="F164" s="226" t="s">
        <v>1603</v>
      </c>
      <c r="G164" s="226" t="s">
        <v>1603</v>
      </c>
      <c r="H164" s="226" t="s">
        <v>1603</v>
      </c>
      <c r="I164" s="213" t="s">
        <v>5328</v>
      </c>
      <c r="J164" s="226" t="s">
        <v>2151</v>
      </c>
      <c r="K164" s="227" t="s">
        <v>4362</v>
      </c>
      <c r="L164" s="213" t="s">
        <v>4362</v>
      </c>
      <c r="M164" s="213" t="s">
        <v>4711</v>
      </c>
      <c r="N164" s="230" t="s">
        <v>3986</v>
      </c>
    </row>
    <row r="165" spans="1:14">
      <c r="A165" s="226" t="s">
        <v>1604</v>
      </c>
      <c r="B165" s="244" t="s">
        <v>1604</v>
      </c>
      <c r="C165" s="226" t="s">
        <v>1693</v>
      </c>
      <c r="D165" s="226" t="s">
        <v>2152</v>
      </c>
      <c r="E165" s="226" t="s">
        <v>2152</v>
      </c>
      <c r="F165" s="226" t="s">
        <v>1604</v>
      </c>
      <c r="G165" s="226" t="s">
        <v>1604</v>
      </c>
      <c r="H165" s="226" t="s">
        <v>1604</v>
      </c>
      <c r="I165" s="213" t="s">
        <v>5329</v>
      </c>
      <c r="J165" s="226" t="s">
        <v>2152</v>
      </c>
      <c r="K165" s="227" t="s">
        <v>4363</v>
      </c>
      <c r="L165" s="213" t="s">
        <v>4363</v>
      </c>
      <c r="M165" s="213" t="s">
        <v>4363</v>
      </c>
      <c r="N165" s="230" t="s">
        <v>3987</v>
      </c>
    </row>
    <row r="166" spans="1:14">
      <c r="A166" s="226" t="s">
        <v>1682</v>
      </c>
      <c r="B166" s="244" t="s">
        <v>1694</v>
      </c>
      <c r="C166" s="226" t="s">
        <v>769</v>
      </c>
      <c r="D166" s="226" t="s">
        <v>3191</v>
      </c>
      <c r="E166" s="226" t="s">
        <v>3034</v>
      </c>
      <c r="F166" s="226" t="s">
        <v>1694</v>
      </c>
      <c r="G166" s="226" t="s">
        <v>1682</v>
      </c>
      <c r="H166" s="226" t="s">
        <v>1682</v>
      </c>
      <c r="I166" s="213" t="s">
        <v>4364</v>
      </c>
      <c r="J166" s="226" t="s">
        <v>769</v>
      </c>
      <c r="K166" s="227" t="s">
        <v>4364</v>
      </c>
      <c r="L166" s="213" t="s">
        <v>4364</v>
      </c>
      <c r="M166" s="213" t="s">
        <v>4364</v>
      </c>
      <c r="N166" s="230" t="s">
        <v>3988</v>
      </c>
    </row>
    <row r="167" spans="1:14">
      <c r="A167" s="226" t="s">
        <v>1681</v>
      </c>
      <c r="B167" s="244" t="s">
        <v>1695</v>
      </c>
      <c r="C167" s="226" t="s">
        <v>1696</v>
      </c>
      <c r="D167" s="226" t="s">
        <v>3192</v>
      </c>
      <c r="E167" s="226" t="s">
        <v>795</v>
      </c>
      <c r="F167" s="226" t="s">
        <v>1695</v>
      </c>
      <c r="G167" s="226" t="s">
        <v>1681</v>
      </c>
      <c r="H167" s="226" t="s">
        <v>1681</v>
      </c>
      <c r="I167" s="213" t="s">
        <v>5330</v>
      </c>
      <c r="J167" s="226" t="s">
        <v>795</v>
      </c>
      <c r="K167" s="227" t="s">
        <v>4365</v>
      </c>
      <c r="L167" s="213" t="s">
        <v>5014</v>
      </c>
      <c r="M167" s="213" t="s">
        <v>4712</v>
      </c>
      <c r="N167" s="230" t="s">
        <v>3989</v>
      </c>
    </row>
    <row r="168" spans="1:14">
      <c r="A168" s="226" t="s">
        <v>1680</v>
      </c>
      <c r="B168" s="244" t="s">
        <v>1697</v>
      </c>
      <c r="C168" s="226" t="s">
        <v>1698</v>
      </c>
      <c r="D168" s="226" t="s">
        <v>3193</v>
      </c>
      <c r="E168" s="226" t="s">
        <v>792</v>
      </c>
      <c r="F168" s="226" t="s">
        <v>1697</v>
      </c>
      <c r="G168" s="226" t="s">
        <v>1680</v>
      </c>
      <c r="H168" s="226" t="s">
        <v>1680</v>
      </c>
      <c r="I168" s="213" t="s">
        <v>5331</v>
      </c>
      <c r="J168" s="226" t="s">
        <v>792</v>
      </c>
      <c r="K168" s="227" t="s">
        <v>4366</v>
      </c>
      <c r="L168" s="213" t="s">
        <v>4366</v>
      </c>
      <c r="M168" s="213" t="s">
        <v>4713</v>
      </c>
      <c r="N168" s="230" t="s">
        <v>3990</v>
      </c>
    </row>
    <row r="169" spans="1:14">
      <c r="A169" s="226" t="s">
        <v>1679</v>
      </c>
      <c r="B169" s="244" t="s">
        <v>1679</v>
      </c>
      <c r="C169" s="226" t="s">
        <v>1699</v>
      </c>
      <c r="D169" s="226" t="s">
        <v>3194</v>
      </c>
      <c r="E169" s="226" t="s">
        <v>798</v>
      </c>
      <c r="F169" s="226" t="s">
        <v>1679</v>
      </c>
      <c r="G169" s="226" t="s">
        <v>1679</v>
      </c>
      <c r="H169" s="226" t="s">
        <v>1679</v>
      </c>
      <c r="I169" s="213" t="s">
        <v>5332</v>
      </c>
      <c r="J169" s="226" t="s">
        <v>798</v>
      </c>
      <c r="K169" s="227" t="s">
        <v>4367</v>
      </c>
      <c r="L169" s="213" t="s">
        <v>5015</v>
      </c>
      <c r="M169" s="213" t="s">
        <v>4714</v>
      </c>
      <c r="N169" s="230" t="s">
        <v>3991</v>
      </c>
    </row>
    <row r="170" spans="1:14">
      <c r="A170" s="226" t="s">
        <v>1678</v>
      </c>
      <c r="B170" s="244" t="s">
        <v>1700</v>
      </c>
      <c r="C170" s="226" t="s">
        <v>770</v>
      </c>
      <c r="D170" s="226" t="s">
        <v>3195</v>
      </c>
      <c r="E170" s="226" t="s">
        <v>770</v>
      </c>
      <c r="F170" s="226" t="s">
        <v>1700</v>
      </c>
      <c r="G170" s="226" t="s">
        <v>1678</v>
      </c>
      <c r="H170" s="226" t="s">
        <v>1678</v>
      </c>
      <c r="I170" s="213" t="s">
        <v>4368</v>
      </c>
      <c r="J170" s="226" t="s">
        <v>770</v>
      </c>
      <c r="K170" s="227" t="s">
        <v>4368</v>
      </c>
      <c r="L170" s="213" t="s">
        <v>4368</v>
      </c>
      <c r="M170" s="213" t="s">
        <v>4368</v>
      </c>
      <c r="N170" s="230" t="s">
        <v>3992</v>
      </c>
    </row>
    <row r="171" spans="1:14">
      <c r="A171" s="226" t="s">
        <v>714</v>
      </c>
      <c r="B171" s="244" t="s">
        <v>714</v>
      </c>
      <c r="C171" s="226" t="s">
        <v>714</v>
      </c>
      <c r="D171" s="226" t="s">
        <v>714</v>
      </c>
      <c r="E171" s="226" t="s">
        <v>714</v>
      </c>
      <c r="F171" s="226" t="s">
        <v>714</v>
      </c>
      <c r="G171" s="226" t="s">
        <v>714</v>
      </c>
      <c r="H171" s="226" t="s">
        <v>714</v>
      </c>
      <c r="I171" s="213" t="s">
        <v>4369</v>
      </c>
      <c r="J171" s="226" t="s">
        <v>714</v>
      </c>
      <c r="K171" s="227" t="s">
        <v>4369</v>
      </c>
      <c r="L171" s="213" t="s">
        <v>4369</v>
      </c>
      <c r="M171" s="213" t="s">
        <v>4369</v>
      </c>
      <c r="N171" s="230" t="s">
        <v>3993</v>
      </c>
    </row>
    <row r="172" spans="1:14">
      <c r="A172" s="226" t="s">
        <v>1677</v>
      </c>
      <c r="B172" s="244" t="s">
        <v>1701</v>
      </c>
      <c r="C172" s="226" t="s">
        <v>771</v>
      </c>
      <c r="D172" s="226" t="s">
        <v>3196</v>
      </c>
      <c r="E172" s="226" t="s">
        <v>771</v>
      </c>
      <c r="F172" s="226" t="s">
        <v>1701</v>
      </c>
      <c r="G172" s="226" t="s">
        <v>1677</v>
      </c>
      <c r="H172" s="226" t="s">
        <v>1677</v>
      </c>
      <c r="I172" s="213" t="s">
        <v>4370</v>
      </c>
      <c r="J172" s="226" t="s">
        <v>771</v>
      </c>
      <c r="K172" s="227" t="s">
        <v>4370</v>
      </c>
      <c r="L172" s="213" t="s">
        <v>4370</v>
      </c>
      <c r="M172" s="213" t="s">
        <v>4370</v>
      </c>
      <c r="N172" s="230" t="s">
        <v>3994</v>
      </c>
    </row>
    <row r="173" spans="1:14">
      <c r="A173" s="226" t="s">
        <v>1601</v>
      </c>
      <c r="B173" s="244" t="s">
        <v>1601</v>
      </c>
      <c r="C173" s="226" t="s">
        <v>1702</v>
      </c>
      <c r="D173" s="226" t="s">
        <v>2153</v>
      </c>
      <c r="E173" s="226" t="s">
        <v>2153</v>
      </c>
      <c r="F173" s="226" t="s">
        <v>1601</v>
      </c>
      <c r="G173" s="226" t="s">
        <v>1601</v>
      </c>
      <c r="H173" s="226" t="s">
        <v>1601</v>
      </c>
      <c r="I173" s="213" t="s">
        <v>5333</v>
      </c>
      <c r="J173" s="226" t="s">
        <v>2153</v>
      </c>
      <c r="K173" s="227" t="s">
        <v>4371</v>
      </c>
      <c r="L173" s="213" t="s">
        <v>4371</v>
      </c>
      <c r="M173" s="213" t="s">
        <v>4371</v>
      </c>
      <c r="N173" s="230" t="s">
        <v>3995</v>
      </c>
    </row>
    <row r="174" spans="1:14">
      <c r="A174" s="226" t="s">
        <v>1602</v>
      </c>
      <c r="B174" s="244" t="s">
        <v>1602</v>
      </c>
      <c r="C174" s="226" t="s">
        <v>1703</v>
      </c>
      <c r="D174" s="226" t="s">
        <v>2154</v>
      </c>
      <c r="E174" s="226" t="s">
        <v>2154</v>
      </c>
      <c r="F174" s="226" t="s">
        <v>1602</v>
      </c>
      <c r="G174" s="226" t="s">
        <v>1602</v>
      </c>
      <c r="H174" s="226" t="s">
        <v>1602</v>
      </c>
      <c r="I174" s="213" t="s">
        <v>5334</v>
      </c>
      <c r="J174" s="226" t="s">
        <v>2154</v>
      </c>
      <c r="K174" s="227" t="s">
        <v>4372</v>
      </c>
      <c r="L174" s="213" t="s">
        <v>4372</v>
      </c>
      <c r="M174" s="213" t="s">
        <v>4372</v>
      </c>
      <c r="N174" s="230" t="s">
        <v>3996</v>
      </c>
    </row>
    <row r="175" spans="1:14">
      <c r="A175" s="226" t="s">
        <v>793</v>
      </c>
      <c r="B175" s="244" t="s">
        <v>1704</v>
      </c>
      <c r="C175" s="226" t="s">
        <v>1705</v>
      </c>
      <c r="D175" s="226" t="s">
        <v>3197</v>
      </c>
      <c r="E175" s="226" t="s">
        <v>3035</v>
      </c>
      <c r="F175" s="226" t="s">
        <v>3377</v>
      </c>
      <c r="G175" s="226" t="s">
        <v>1394</v>
      </c>
      <c r="H175" s="226" t="s">
        <v>990</v>
      </c>
      <c r="I175" s="213" t="s">
        <v>5335</v>
      </c>
      <c r="J175" s="226" t="s">
        <v>2155</v>
      </c>
      <c r="K175" s="227" t="s">
        <v>4373</v>
      </c>
      <c r="L175" s="213" t="s">
        <v>5016</v>
      </c>
      <c r="M175" s="213" t="s">
        <v>4715</v>
      </c>
      <c r="N175" s="230" t="s">
        <v>3997</v>
      </c>
    </row>
    <row r="176" spans="1:14">
      <c r="A176" s="226" t="s">
        <v>1605</v>
      </c>
      <c r="B176" s="244" t="s">
        <v>1706</v>
      </c>
      <c r="C176" s="226" t="s">
        <v>1707</v>
      </c>
      <c r="D176" s="226" t="s">
        <v>3198</v>
      </c>
      <c r="E176" s="226" t="s">
        <v>3036</v>
      </c>
      <c r="F176" s="226" t="s">
        <v>3378</v>
      </c>
      <c r="G176" s="226" t="s">
        <v>1395</v>
      </c>
      <c r="H176" s="226" t="s">
        <v>991</v>
      </c>
      <c r="I176" s="213" t="s">
        <v>5336</v>
      </c>
      <c r="J176" s="245" t="s">
        <v>2156</v>
      </c>
      <c r="K176" s="227" t="s">
        <v>4374</v>
      </c>
      <c r="L176" s="213" t="s">
        <v>5017</v>
      </c>
      <c r="M176" s="213" t="s">
        <v>4716</v>
      </c>
      <c r="N176" s="230" t="s">
        <v>3998</v>
      </c>
    </row>
    <row r="177" spans="1:14">
      <c r="A177" s="226" t="s">
        <v>715</v>
      </c>
      <c r="B177" s="244" t="s">
        <v>715</v>
      </c>
      <c r="C177" s="226" t="s">
        <v>715</v>
      </c>
      <c r="D177" s="226" t="s">
        <v>715</v>
      </c>
      <c r="E177" s="226" t="s">
        <v>715</v>
      </c>
      <c r="F177" s="226" t="s">
        <v>715</v>
      </c>
      <c r="G177" s="226" t="s">
        <v>715</v>
      </c>
      <c r="H177" s="226" t="s">
        <v>715</v>
      </c>
      <c r="I177" s="213" t="s">
        <v>4375</v>
      </c>
      <c r="J177" s="226" t="s">
        <v>715</v>
      </c>
      <c r="K177" s="227" t="s">
        <v>4375</v>
      </c>
      <c r="L177" s="213" t="s">
        <v>4375</v>
      </c>
      <c r="M177" s="213" t="s">
        <v>4717</v>
      </c>
      <c r="N177" s="230" t="s">
        <v>3999</v>
      </c>
    </row>
    <row r="178" spans="1:14">
      <c r="A178" s="226" t="s">
        <v>1676</v>
      </c>
      <c r="B178" s="244" t="s">
        <v>1708</v>
      </c>
      <c r="C178" s="226" t="s">
        <v>1709</v>
      </c>
      <c r="D178" s="226" t="s">
        <v>780</v>
      </c>
      <c r="E178" s="226" t="s">
        <v>780</v>
      </c>
      <c r="F178" s="226" t="s">
        <v>1708</v>
      </c>
      <c r="G178" s="226" t="s">
        <v>1676</v>
      </c>
      <c r="H178" s="226" t="s">
        <v>1676</v>
      </c>
      <c r="I178" s="213" t="s">
        <v>5337</v>
      </c>
      <c r="J178" s="226" t="s">
        <v>780</v>
      </c>
      <c r="K178" s="227" t="s">
        <v>4376</v>
      </c>
      <c r="L178" s="213" t="s">
        <v>4376</v>
      </c>
      <c r="M178" s="213" t="s">
        <v>4718</v>
      </c>
      <c r="N178" s="230" t="s">
        <v>4000</v>
      </c>
    </row>
    <row r="179" spans="1:14">
      <c r="A179" s="226" t="s">
        <v>821</v>
      </c>
      <c r="B179" s="244" t="s">
        <v>821</v>
      </c>
      <c r="C179" s="226" t="s">
        <v>821</v>
      </c>
      <c r="D179" s="226" t="s">
        <v>821</v>
      </c>
      <c r="E179" s="226" t="s">
        <v>821</v>
      </c>
      <c r="F179" s="226" t="s">
        <v>821</v>
      </c>
      <c r="G179" s="226" t="s">
        <v>821</v>
      </c>
      <c r="H179" s="226" t="s">
        <v>821</v>
      </c>
      <c r="I179" s="213" t="s">
        <v>4377</v>
      </c>
      <c r="J179" s="226" t="s">
        <v>821</v>
      </c>
      <c r="K179" s="227" t="s">
        <v>4377</v>
      </c>
      <c r="L179" s="213" t="s">
        <v>4377</v>
      </c>
      <c r="M179" s="213" t="s">
        <v>4719</v>
      </c>
      <c r="N179" s="230" t="s">
        <v>4001</v>
      </c>
    </row>
    <row r="180" spans="1:14">
      <c r="A180" s="226" t="s">
        <v>1672</v>
      </c>
      <c r="B180" s="244" t="s">
        <v>1672</v>
      </c>
      <c r="C180" s="226" t="s">
        <v>1672</v>
      </c>
      <c r="D180" s="226" t="s">
        <v>786</v>
      </c>
      <c r="E180" s="226" t="s">
        <v>786</v>
      </c>
      <c r="F180" s="226" t="s">
        <v>1672</v>
      </c>
      <c r="G180" s="226" t="s">
        <v>1672</v>
      </c>
      <c r="H180" s="226" t="s">
        <v>1672</v>
      </c>
      <c r="I180" s="213" t="s">
        <v>4378</v>
      </c>
      <c r="J180" s="226" t="s">
        <v>786</v>
      </c>
      <c r="K180" s="227" t="s">
        <v>4378</v>
      </c>
      <c r="L180" s="213" t="s">
        <v>4378</v>
      </c>
      <c r="M180" s="213" t="s">
        <v>4378</v>
      </c>
      <c r="N180" s="230" t="s">
        <v>4002</v>
      </c>
    </row>
    <row r="181" spans="1:14">
      <c r="A181" s="226" t="s">
        <v>1671</v>
      </c>
      <c r="B181" s="244" t="s">
        <v>1671</v>
      </c>
      <c r="C181" s="226" t="s">
        <v>1671</v>
      </c>
      <c r="D181" s="226" t="s">
        <v>791</v>
      </c>
      <c r="E181" s="226" t="s">
        <v>791</v>
      </c>
      <c r="F181" s="226" t="s">
        <v>1671</v>
      </c>
      <c r="G181" s="226" t="s">
        <v>1671</v>
      </c>
      <c r="H181" s="226" t="s">
        <v>1671</v>
      </c>
      <c r="I181" s="213" t="s">
        <v>4379</v>
      </c>
      <c r="J181" s="226" t="s">
        <v>791</v>
      </c>
      <c r="K181" s="227" t="s">
        <v>4379</v>
      </c>
      <c r="L181" s="213" t="s">
        <v>4379</v>
      </c>
      <c r="M181" s="213" t="s">
        <v>4379</v>
      </c>
      <c r="N181" s="230" t="s">
        <v>4003</v>
      </c>
    </row>
    <row r="182" spans="1:14" ht="15.75">
      <c r="A182" s="226" t="s">
        <v>1670</v>
      </c>
      <c r="B182" s="244" t="s">
        <v>1710</v>
      </c>
      <c r="C182" s="226" t="s">
        <v>1711</v>
      </c>
      <c r="D182" s="226" t="s">
        <v>3199</v>
      </c>
      <c r="E182" s="226" t="s">
        <v>3037</v>
      </c>
      <c r="F182" s="226" t="s">
        <v>3379</v>
      </c>
      <c r="G182" s="226" t="s">
        <v>1396</v>
      </c>
      <c r="H182" s="226" t="s">
        <v>992</v>
      </c>
      <c r="I182" s="213" t="s">
        <v>5338</v>
      </c>
      <c r="J182" s="226" t="s">
        <v>2157</v>
      </c>
      <c r="K182" s="227" t="s">
        <v>4380</v>
      </c>
      <c r="L182" s="213" t="s">
        <v>5018</v>
      </c>
      <c r="M182" s="213" t="s">
        <v>4720</v>
      </c>
      <c r="N182" s="230" t="s">
        <v>4004</v>
      </c>
    </row>
    <row r="183" spans="1:14">
      <c r="A183" s="226" t="s">
        <v>775</v>
      </c>
      <c r="B183" s="244" t="s">
        <v>775</v>
      </c>
      <c r="C183" s="226" t="s">
        <v>775</v>
      </c>
      <c r="D183" s="226" t="s">
        <v>775</v>
      </c>
      <c r="E183" s="226" t="s">
        <v>775</v>
      </c>
      <c r="F183" s="226" t="s">
        <v>775</v>
      </c>
      <c r="G183" s="226" t="s">
        <v>775</v>
      </c>
      <c r="H183" s="226" t="s">
        <v>775</v>
      </c>
      <c r="I183" s="213" t="s">
        <v>4381</v>
      </c>
      <c r="J183" s="226" t="s">
        <v>775</v>
      </c>
      <c r="K183" s="227" t="s">
        <v>4381</v>
      </c>
      <c r="L183" s="213" t="s">
        <v>4381</v>
      </c>
      <c r="M183" s="213" t="s">
        <v>4721</v>
      </c>
      <c r="N183" s="230" t="s">
        <v>4005</v>
      </c>
    </row>
    <row r="184" spans="1:14">
      <c r="A184" s="226" t="s">
        <v>708</v>
      </c>
      <c r="B184" s="244" t="s">
        <v>1712</v>
      </c>
      <c r="C184" s="226" t="s">
        <v>1713</v>
      </c>
      <c r="D184" s="226" t="s">
        <v>708</v>
      </c>
      <c r="E184" s="226" t="s">
        <v>708</v>
      </c>
      <c r="F184" s="226" t="s">
        <v>1712</v>
      </c>
      <c r="G184" s="226" t="s">
        <v>708</v>
      </c>
      <c r="H184" s="226" t="s">
        <v>708</v>
      </c>
      <c r="I184" s="213" t="s">
        <v>5339</v>
      </c>
      <c r="J184" s="226" t="s">
        <v>708</v>
      </c>
      <c r="K184" s="227" t="s">
        <v>4382</v>
      </c>
      <c r="L184" s="213" t="s">
        <v>4382</v>
      </c>
      <c r="M184" s="213" t="s">
        <v>4722</v>
      </c>
      <c r="N184" s="230" t="s">
        <v>4006</v>
      </c>
    </row>
    <row r="185" spans="1:14">
      <c r="A185" s="226" t="s">
        <v>1669</v>
      </c>
      <c r="B185" s="244" t="s">
        <v>1714</v>
      </c>
      <c r="C185" s="226" t="s">
        <v>1715</v>
      </c>
      <c r="D185" s="226" t="s">
        <v>3200</v>
      </c>
      <c r="E185" s="226" t="s">
        <v>3038</v>
      </c>
      <c r="F185" s="226" t="s">
        <v>3380</v>
      </c>
      <c r="G185" s="226" t="s">
        <v>1397</v>
      </c>
      <c r="H185" s="226" t="s">
        <v>993</v>
      </c>
      <c r="I185" s="213" t="s">
        <v>5340</v>
      </c>
      <c r="J185" s="226" t="s">
        <v>2158</v>
      </c>
      <c r="K185" s="227" t="s">
        <v>4383</v>
      </c>
      <c r="L185" s="213" t="s">
        <v>5019</v>
      </c>
      <c r="M185" s="213" t="s">
        <v>4723</v>
      </c>
      <c r="N185" s="230" t="s">
        <v>4007</v>
      </c>
    </row>
    <row r="186" spans="1:14">
      <c r="A186" s="226" t="s">
        <v>822</v>
      </c>
      <c r="B186" s="244" t="s">
        <v>822</v>
      </c>
      <c r="C186" s="226" t="s">
        <v>822</v>
      </c>
      <c r="D186" s="226" t="s">
        <v>822</v>
      </c>
      <c r="E186" s="226" t="s">
        <v>822</v>
      </c>
      <c r="F186" s="226" t="s">
        <v>822</v>
      </c>
      <c r="G186" s="226" t="s">
        <v>822</v>
      </c>
      <c r="H186" s="226" t="s">
        <v>822</v>
      </c>
      <c r="I186" s="213" t="s">
        <v>4384</v>
      </c>
      <c r="J186" s="226" t="s">
        <v>822</v>
      </c>
      <c r="K186" s="227" t="s">
        <v>4384</v>
      </c>
      <c r="L186" s="213" t="s">
        <v>4384</v>
      </c>
      <c r="M186" s="213" t="s">
        <v>4724</v>
      </c>
      <c r="N186" s="230" t="s">
        <v>4008</v>
      </c>
    </row>
    <row r="187" spans="1:14">
      <c r="A187" s="226" t="s">
        <v>716</v>
      </c>
      <c r="B187" s="244" t="s">
        <v>716</v>
      </c>
      <c r="C187" s="226" t="s">
        <v>716</v>
      </c>
      <c r="D187" s="226" t="s">
        <v>716</v>
      </c>
      <c r="E187" s="226" t="s">
        <v>716</v>
      </c>
      <c r="F187" s="226" t="s">
        <v>716</v>
      </c>
      <c r="G187" s="226" t="s">
        <v>716</v>
      </c>
      <c r="H187" s="226" t="s">
        <v>716</v>
      </c>
      <c r="I187" s="213" t="s">
        <v>4385</v>
      </c>
      <c r="J187" s="226" t="s">
        <v>716</v>
      </c>
      <c r="K187" s="227" t="s">
        <v>4385</v>
      </c>
      <c r="L187" s="213" t="s">
        <v>4385</v>
      </c>
      <c r="M187" s="213" t="s">
        <v>4385</v>
      </c>
      <c r="N187" s="230" t="s">
        <v>4009</v>
      </c>
    </row>
    <row r="188" spans="1:14">
      <c r="A188" s="226" t="s">
        <v>1668</v>
      </c>
      <c r="B188" s="244" t="s">
        <v>1668</v>
      </c>
      <c r="C188" s="226" t="s">
        <v>1668</v>
      </c>
      <c r="D188" s="226" t="s">
        <v>712</v>
      </c>
      <c r="E188" s="226" t="s">
        <v>712</v>
      </c>
      <c r="F188" s="226" t="s">
        <v>1668</v>
      </c>
      <c r="G188" s="226" t="s">
        <v>1668</v>
      </c>
      <c r="H188" s="226" t="s">
        <v>1668</v>
      </c>
      <c r="I188" s="213" t="s">
        <v>4386</v>
      </c>
      <c r="J188" s="226" t="s">
        <v>712</v>
      </c>
      <c r="K188" s="227" t="s">
        <v>4386</v>
      </c>
      <c r="L188" s="213" t="s">
        <v>5020</v>
      </c>
      <c r="M188" s="213" t="s">
        <v>4725</v>
      </c>
      <c r="N188" s="230" t="s">
        <v>4010</v>
      </c>
    </row>
    <row r="189" spans="1:14">
      <c r="A189" s="226" t="s">
        <v>1667</v>
      </c>
      <c r="B189" s="244" t="s">
        <v>1667</v>
      </c>
      <c r="C189" s="226" t="s">
        <v>1667</v>
      </c>
      <c r="D189" s="226" t="s">
        <v>787</v>
      </c>
      <c r="E189" s="226" t="s">
        <v>787</v>
      </c>
      <c r="F189" s="226" t="s">
        <v>1667</v>
      </c>
      <c r="G189" s="226" t="s">
        <v>1667</v>
      </c>
      <c r="H189" s="226" t="s">
        <v>1667</v>
      </c>
      <c r="I189" s="213" t="s">
        <v>4387</v>
      </c>
      <c r="J189" s="226" t="s">
        <v>787</v>
      </c>
      <c r="K189" s="227" t="s">
        <v>4387</v>
      </c>
      <c r="L189" s="213" t="s">
        <v>4387</v>
      </c>
      <c r="M189" s="213" t="s">
        <v>4387</v>
      </c>
      <c r="N189" s="230" t="s">
        <v>4011</v>
      </c>
    </row>
    <row r="190" spans="1:14" s="226" customFormat="1">
      <c r="A190" s="226" t="s">
        <v>1666</v>
      </c>
      <c r="B190" s="244" t="s">
        <v>1716</v>
      </c>
      <c r="C190" s="226" t="s">
        <v>1666</v>
      </c>
      <c r="D190" s="226" t="s">
        <v>868</v>
      </c>
      <c r="E190" s="226" t="s">
        <v>868</v>
      </c>
      <c r="F190" s="226" t="s">
        <v>1716</v>
      </c>
      <c r="G190" s="226" t="s">
        <v>1398</v>
      </c>
      <c r="H190" s="226" t="s">
        <v>1666</v>
      </c>
      <c r="I190" s="213" t="s">
        <v>4388</v>
      </c>
      <c r="J190" s="226" t="s">
        <v>868</v>
      </c>
      <c r="K190" s="227" t="s">
        <v>4388</v>
      </c>
      <c r="L190" s="213" t="s">
        <v>4388</v>
      </c>
      <c r="M190" s="213" t="s">
        <v>4726</v>
      </c>
      <c r="N190" s="230" t="s">
        <v>4012</v>
      </c>
    </row>
    <row r="191" spans="1:14">
      <c r="A191" s="226" t="s">
        <v>1662</v>
      </c>
      <c r="B191" s="244" t="s">
        <v>1662</v>
      </c>
      <c r="C191" s="226" t="s">
        <v>1662</v>
      </c>
      <c r="D191" s="226" t="s">
        <v>2159</v>
      </c>
      <c r="E191" s="226" t="s">
        <v>2159</v>
      </c>
      <c r="F191" s="226" t="s">
        <v>1662</v>
      </c>
      <c r="G191" s="226" t="s">
        <v>1662</v>
      </c>
      <c r="H191" s="226" t="s">
        <v>1662</v>
      </c>
      <c r="I191" s="213" t="s">
        <v>4389</v>
      </c>
      <c r="J191" s="226" t="s">
        <v>2159</v>
      </c>
      <c r="K191" s="227" t="s">
        <v>4389</v>
      </c>
      <c r="L191" s="213" t="s">
        <v>4389</v>
      </c>
      <c r="M191" s="213" t="s">
        <v>4389</v>
      </c>
      <c r="N191" s="230" t="s">
        <v>4013</v>
      </c>
    </row>
    <row r="192" spans="1:14">
      <c r="A192" s="226" t="s">
        <v>1661</v>
      </c>
      <c r="B192" s="244" t="s">
        <v>1717</v>
      </c>
      <c r="C192" s="226" t="s">
        <v>1661</v>
      </c>
      <c r="D192" s="226" t="s">
        <v>2160</v>
      </c>
      <c r="E192" s="226" t="s">
        <v>2160</v>
      </c>
      <c r="F192" s="226" t="s">
        <v>1717</v>
      </c>
      <c r="G192" s="226" t="s">
        <v>1661</v>
      </c>
      <c r="H192" s="226" t="s">
        <v>1661</v>
      </c>
      <c r="I192" s="213" t="s">
        <v>4390</v>
      </c>
      <c r="J192" s="226" t="s">
        <v>2160</v>
      </c>
      <c r="K192" s="227" t="s">
        <v>4390</v>
      </c>
      <c r="L192" s="213" t="s">
        <v>4390</v>
      </c>
      <c r="M192" s="213" t="s">
        <v>4390</v>
      </c>
      <c r="N192" s="230" t="s">
        <v>4014</v>
      </c>
    </row>
    <row r="193" spans="1:14">
      <c r="A193" s="226" t="s">
        <v>1663</v>
      </c>
      <c r="B193" s="244" t="s">
        <v>1718</v>
      </c>
      <c r="C193" s="226" t="s">
        <v>1719</v>
      </c>
      <c r="D193" s="226" t="s">
        <v>3201</v>
      </c>
      <c r="E193" s="226" t="s">
        <v>3039</v>
      </c>
      <c r="F193" s="226" t="s">
        <v>3381</v>
      </c>
      <c r="G193" s="226" t="s">
        <v>1399</v>
      </c>
      <c r="H193" s="226" t="s">
        <v>994</v>
      </c>
      <c r="I193" s="213" t="s">
        <v>5341</v>
      </c>
      <c r="J193" s="226" t="s">
        <v>2161</v>
      </c>
      <c r="K193" s="227" t="s">
        <v>4391</v>
      </c>
      <c r="L193" s="213" t="s">
        <v>5021</v>
      </c>
      <c r="M193" s="213" t="s">
        <v>4727</v>
      </c>
      <c r="N193" s="230" t="s">
        <v>4015</v>
      </c>
    </row>
    <row r="194" spans="1:14">
      <c r="A194" s="226" t="s">
        <v>1660</v>
      </c>
      <c r="B194" s="244" t="s">
        <v>1660</v>
      </c>
      <c r="C194" s="226" t="s">
        <v>1660</v>
      </c>
      <c r="D194" s="226" t="s">
        <v>2162</v>
      </c>
      <c r="E194" s="226" t="s">
        <v>2162</v>
      </c>
      <c r="F194" s="226" t="s">
        <v>1660</v>
      </c>
      <c r="G194" s="226" t="s">
        <v>1660</v>
      </c>
      <c r="H194" s="226" t="s">
        <v>1660</v>
      </c>
      <c r="I194" s="213" t="s">
        <v>4392</v>
      </c>
      <c r="J194" s="226" t="s">
        <v>2162</v>
      </c>
      <c r="K194" s="227" t="s">
        <v>4392</v>
      </c>
      <c r="L194" s="213" t="s">
        <v>5022</v>
      </c>
      <c r="M194" s="213" t="s">
        <v>4728</v>
      </c>
      <c r="N194" s="230" t="s">
        <v>4016</v>
      </c>
    </row>
    <row r="195" spans="1:14">
      <c r="A195" s="226" t="s">
        <v>1659</v>
      </c>
      <c r="B195" s="244" t="s">
        <v>1659</v>
      </c>
      <c r="C195" s="226" t="s">
        <v>1659</v>
      </c>
      <c r="D195" s="226" t="s">
        <v>2163</v>
      </c>
      <c r="E195" s="226" t="s">
        <v>2163</v>
      </c>
      <c r="F195" s="226" t="s">
        <v>1659</v>
      </c>
      <c r="G195" s="226" t="s">
        <v>1659</v>
      </c>
      <c r="H195" s="226" t="s">
        <v>1659</v>
      </c>
      <c r="I195" s="213" t="s">
        <v>4393</v>
      </c>
      <c r="J195" s="226" t="s">
        <v>2163</v>
      </c>
      <c r="K195" s="227" t="s">
        <v>4393</v>
      </c>
      <c r="L195" s="213" t="s">
        <v>4393</v>
      </c>
      <c r="M195" s="213" t="s">
        <v>4393</v>
      </c>
      <c r="N195" s="230" t="s">
        <v>4017</v>
      </c>
    </row>
    <row r="196" spans="1:14">
      <c r="A196" s="226" t="s">
        <v>1658</v>
      </c>
      <c r="B196" s="244" t="s">
        <v>1720</v>
      </c>
      <c r="C196" s="226" t="s">
        <v>1658</v>
      </c>
      <c r="D196" s="226" t="s">
        <v>2164</v>
      </c>
      <c r="E196" s="226" t="s">
        <v>2164</v>
      </c>
      <c r="F196" s="226" t="s">
        <v>1720</v>
      </c>
      <c r="G196" s="226" t="s">
        <v>1658</v>
      </c>
      <c r="H196" s="226" t="s">
        <v>1658</v>
      </c>
      <c r="I196" s="213" t="s">
        <v>4394</v>
      </c>
      <c r="J196" s="226" t="s">
        <v>2164</v>
      </c>
      <c r="K196" s="227" t="s">
        <v>4394</v>
      </c>
      <c r="L196" s="213" t="s">
        <v>4394</v>
      </c>
      <c r="M196" s="213" t="s">
        <v>4394</v>
      </c>
      <c r="N196" s="230" t="s">
        <v>4018</v>
      </c>
    </row>
    <row r="197" spans="1:14">
      <c r="A197" s="226" t="s">
        <v>3531</v>
      </c>
      <c r="B197" s="244" t="s">
        <v>3532</v>
      </c>
      <c r="C197" s="226" t="s">
        <v>3533</v>
      </c>
      <c r="D197" s="226" t="s">
        <v>3534</v>
      </c>
      <c r="E197" s="226" t="s">
        <v>3535</v>
      </c>
      <c r="F197" s="226" t="s">
        <v>3536</v>
      </c>
      <c r="G197" s="226" t="s">
        <v>3537</v>
      </c>
      <c r="H197" s="226" t="s">
        <v>3538</v>
      </c>
      <c r="I197" s="213" t="s">
        <v>5342</v>
      </c>
      <c r="J197" s="226" t="s">
        <v>3539</v>
      </c>
      <c r="K197" s="227" t="s">
        <v>4395</v>
      </c>
      <c r="L197" s="213" t="s">
        <v>5023</v>
      </c>
      <c r="M197" s="213" t="s">
        <v>4729</v>
      </c>
      <c r="N197" s="230" t="s">
        <v>4019</v>
      </c>
    </row>
    <row r="198" spans="1:14">
      <c r="A198" s="226" t="s">
        <v>818</v>
      </c>
      <c r="B198" s="244" t="s">
        <v>1721</v>
      </c>
      <c r="C198" s="226" t="s">
        <v>1722</v>
      </c>
      <c r="D198" s="226" t="s">
        <v>3202</v>
      </c>
      <c r="E198" s="226" t="s">
        <v>3040</v>
      </c>
      <c r="F198" s="226" t="s">
        <v>3382</v>
      </c>
      <c r="G198" s="226" t="s">
        <v>1400</v>
      </c>
      <c r="H198" s="226" t="s">
        <v>995</v>
      </c>
      <c r="I198" s="213" t="s">
        <v>5343</v>
      </c>
      <c r="J198" s="226" t="s">
        <v>2165</v>
      </c>
      <c r="K198" s="227" t="s">
        <v>4396</v>
      </c>
      <c r="L198" s="213" t="s">
        <v>5024</v>
      </c>
      <c r="M198" s="213" t="s">
        <v>4730</v>
      </c>
      <c r="N198" s="230" t="s">
        <v>4020</v>
      </c>
    </row>
    <row r="199" spans="1:14">
      <c r="A199" s="226" t="s">
        <v>1657</v>
      </c>
      <c r="B199" s="244" t="s">
        <v>1657</v>
      </c>
      <c r="C199" s="226" t="s">
        <v>1657</v>
      </c>
      <c r="D199" s="226" t="s">
        <v>2166</v>
      </c>
      <c r="E199" s="226" t="s">
        <v>2166</v>
      </c>
      <c r="F199" s="226" t="s">
        <v>1657</v>
      </c>
      <c r="G199" s="226" t="s">
        <v>1657</v>
      </c>
      <c r="H199" s="226" t="s">
        <v>1657</v>
      </c>
      <c r="I199" s="213" t="s">
        <v>4397</v>
      </c>
      <c r="J199" s="226" t="s">
        <v>2166</v>
      </c>
      <c r="K199" s="227" t="s">
        <v>4397</v>
      </c>
      <c r="L199" s="213" t="s">
        <v>4397</v>
      </c>
      <c r="M199" s="213" t="s">
        <v>4397</v>
      </c>
      <c r="N199" s="230" t="s">
        <v>4021</v>
      </c>
    </row>
    <row r="200" spans="1:14">
      <c r="A200" s="226" t="s">
        <v>774</v>
      </c>
      <c r="B200" s="244" t="s">
        <v>774</v>
      </c>
      <c r="C200" s="226" t="s">
        <v>774</v>
      </c>
      <c r="D200" s="226" t="s">
        <v>774</v>
      </c>
      <c r="E200" s="226" t="s">
        <v>774</v>
      </c>
      <c r="F200" s="226" t="s">
        <v>774</v>
      </c>
      <c r="G200" s="226" t="s">
        <v>774</v>
      </c>
      <c r="H200" s="226" t="s">
        <v>774</v>
      </c>
      <c r="I200" s="213" t="s">
        <v>4398</v>
      </c>
      <c r="J200" s="226" t="s">
        <v>774</v>
      </c>
      <c r="K200" s="227" t="s">
        <v>4398</v>
      </c>
      <c r="L200" s="213" t="s">
        <v>4398</v>
      </c>
      <c r="M200" s="213" t="s">
        <v>4398</v>
      </c>
      <c r="N200" s="230" t="s">
        <v>4022</v>
      </c>
    </row>
    <row r="201" spans="1:14">
      <c r="A201" s="226" t="s">
        <v>1656</v>
      </c>
      <c r="B201" s="244" t="s">
        <v>1723</v>
      </c>
      <c r="C201" s="226" t="s">
        <v>1724</v>
      </c>
      <c r="D201" s="226" t="s">
        <v>2167</v>
      </c>
      <c r="E201" s="226" t="s">
        <v>2167</v>
      </c>
      <c r="F201" s="226" t="s">
        <v>1723</v>
      </c>
      <c r="G201" s="226" t="s">
        <v>1656</v>
      </c>
      <c r="H201" s="226" t="s">
        <v>1656</v>
      </c>
      <c r="I201" s="213" t="s">
        <v>5344</v>
      </c>
      <c r="J201" s="226" t="s">
        <v>2167</v>
      </c>
      <c r="K201" s="227" t="s">
        <v>4399</v>
      </c>
      <c r="L201" s="213" t="s">
        <v>4399</v>
      </c>
      <c r="M201" s="213" t="s">
        <v>4731</v>
      </c>
      <c r="N201" s="230" t="s">
        <v>4023</v>
      </c>
    </row>
    <row r="202" spans="1:14">
      <c r="A202" s="226" t="s">
        <v>3767</v>
      </c>
      <c r="B202" s="244" t="s">
        <v>3768</v>
      </c>
      <c r="C202" s="226" t="s">
        <v>3769</v>
      </c>
      <c r="D202" s="226" t="s">
        <v>3770</v>
      </c>
      <c r="E202" s="226" t="s">
        <v>3771</v>
      </c>
      <c r="F202" s="226" t="s">
        <v>3772</v>
      </c>
      <c r="G202" s="226" t="s">
        <v>3773</v>
      </c>
      <c r="H202" s="226" t="s">
        <v>3774</v>
      </c>
      <c r="I202" s="213" t="s">
        <v>5345</v>
      </c>
      <c r="J202" s="226" t="s">
        <v>3775</v>
      </c>
      <c r="K202" s="227" t="s">
        <v>4400</v>
      </c>
      <c r="L202" s="213" t="s">
        <v>5025</v>
      </c>
      <c r="M202" s="213" t="s">
        <v>4732</v>
      </c>
      <c r="N202" s="230" t="s">
        <v>4024</v>
      </c>
    </row>
    <row r="203" spans="1:14">
      <c r="A203" s="226" t="s">
        <v>794</v>
      </c>
      <c r="B203" s="244" t="s">
        <v>1725</v>
      </c>
      <c r="C203" s="226" t="s">
        <v>1726</v>
      </c>
      <c r="D203" s="226" t="s">
        <v>3203</v>
      </c>
      <c r="E203" s="226" t="s">
        <v>3041</v>
      </c>
      <c r="F203" s="226" t="s">
        <v>3383</v>
      </c>
      <c r="G203" s="226" t="s">
        <v>794</v>
      </c>
      <c r="H203" s="226" t="s">
        <v>996</v>
      </c>
      <c r="I203" s="213" t="s">
        <v>5346</v>
      </c>
      <c r="J203" s="226" t="s">
        <v>2168</v>
      </c>
      <c r="K203" s="227" t="s">
        <v>4401</v>
      </c>
      <c r="L203" s="213" t="s">
        <v>5026</v>
      </c>
      <c r="M203" s="213" t="s">
        <v>4733</v>
      </c>
      <c r="N203" s="230" t="s">
        <v>4025</v>
      </c>
    </row>
    <row r="204" spans="1:14">
      <c r="A204" s="226" t="s">
        <v>1664</v>
      </c>
      <c r="B204" s="244" t="s">
        <v>1727</v>
      </c>
      <c r="C204" s="226" t="s">
        <v>768</v>
      </c>
      <c r="D204" s="226" t="s">
        <v>3204</v>
      </c>
      <c r="E204" s="226" t="s">
        <v>768</v>
      </c>
      <c r="F204" s="226" t="s">
        <v>1727</v>
      </c>
      <c r="G204" s="226" t="s">
        <v>1664</v>
      </c>
      <c r="H204" s="226" t="s">
        <v>1664</v>
      </c>
      <c r="I204" s="213" t="s">
        <v>4402</v>
      </c>
      <c r="J204" s="226" t="s">
        <v>768</v>
      </c>
      <c r="K204" s="227" t="s">
        <v>4402</v>
      </c>
      <c r="L204" s="213" t="s">
        <v>4402</v>
      </c>
      <c r="M204" s="213" t="s">
        <v>4402</v>
      </c>
      <c r="N204" s="230" t="s">
        <v>4026</v>
      </c>
    </row>
    <row r="205" spans="1:14">
      <c r="A205" s="226" t="s">
        <v>1655</v>
      </c>
      <c r="B205" s="244" t="s">
        <v>1728</v>
      </c>
      <c r="C205" s="226" t="s">
        <v>1729</v>
      </c>
      <c r="D205" s="226" t="s">
        <v>3205</v>
      </c>
      <c r="E205" s="226" t="s">
        <v>2169</v>
      </c>
      <c r="F205" s="226" t="s">
        <v>1728</v>
      </c>
      <c r="G205" s="226" t="s">
        <v>1655</v>
      </c>
      <c r="H205" s="226" t="s">
        <v>1655</v>
      </c>
      <c r="I205" s="213" t="s">
        <v>5347</v>
      </c>
      <c r="J205" s="226" t="s">
        <v>2169</v>
      </c>
      <c r="K205" s="227" t="s">
        <v>4403</v>
      </c>
      <c r="L205" s="213" t="s">
        <v>4403</v>
      </c>
      <c r="M205" s="213" t="s">
        <v>4734</v>
      </c>
      <c r="N205" s="230" t="s">
        <v>4027</v>
      </c>
    </row>
    <row r="206" spans="1:14">
      <c r="A206" s="226" t="s">
        <v>3784</v>
      </c>
      <c r="B206" s="244" t="s">
        <v>3783</v>
      </c>
      <c r="C206" s="226" t="s">
        <v>3782</v>
      </c>
      <c r="D206" s="226" t="s">
        <v>3781</v>
      </c>
      <c r="E206" s="226" t="s">
        <v>3780</v>
      </c>
      <c r="F206" s="226" t="s">
        <v>3779</v>
      </c>
      <c r="G206" s="226" t="s">
        <v>3778</v>
      </c>
      <c r="H206" s="226" t="s">
        <v>3777</v>
      </c>
      <c r="I206" s="213" t="s">
        <v>5348</v>
      </c>
      <c r="J206" s="226" t="s">
        <v>3776</v>
      </c>
      <c r="K206" s="227" t="s">
        <v>4404</v>
      </c>
      <c r="L206" s="213" t="s">
        <v>5027</v>
      </c>
      <c r="M206" s="213" t="s">
        <v>4735</v>
      </c>
      <c r="N206" s="230" t="s">
        <v>4028</v>
      </c>
    </row>
    <row r="207" spans="1:14">
      <c r="A207" s="226" t="s">
        <v>1665</v>
      </c>
      <c r="B207" s="244" t="s">
        <v>1730</v>
      </c>
      <c r="C207" s="226" t="s">
        <v>1665</v>
      </c>
      <c r="D207" s="226" t="s">
        <v>790</v>
      </c>
      <c r="E207" s="226" t="s">
        <v>790</v>
      </c>
      <c r="F207" s="226" t="s">
        <v>1730</v>
      </c>
      <c r="G207" s="226" t="s">
        <v>1665</v>
      </c>
      <c r="H207" s="226" t="s">
        <v>1665</v>
      </c>
      <c r="I207" s="213" t="s">
        <v>4405</v>
      </c>
      <c r="J207" s="226" t="s">
        <v>790</v>
      </c>
      <c r="K207" s="227" t="s">
        <v>4405</v>
      </c>
      <c r="L207" s="213" t="s">
        <v>4405</v>
      </c>
      <c r="M207" s="213" t="s">
        <v>4405</v>
      </c>
      <c r="N207" s="230" t="s">
        <v>4029</v>
      </c>
    </row>
    <row r="208" spans="1:14">
      <c r="A208" s="226" t="s">
        <v>3785</v>
      </c>
      <c r="B208" s="244" t="s">
        <v>3787</v>
      </c>
      <c r="C208" s="226" t="s">
        <v>3789</v>
      </c>
      <c r="D208" s="226" t="s">
        <v>3791</v>
      </c>
      <c r="E208" s="226" t="s">
        <v>3793</v>
      </c>
      <c r="F208" s="226" t="s">
        <v>3795</v>
      </c>
      <c r="G208" s="226" t="s">
        <v>3797</v>
      </c>
      <c r="H208" s="226" t="s">
        <v>3799</v>
      </c>
      <c r="I208" s="213" t="s">
        <v>5349</v>
      </c>
      <c r="J208" s="226" t="s">
        <v>3801</v>
      </c>
      <c r="K208" s="227" t="s">
        <v>4406</v>
      </c>
      <c r="L208" s="213" t="s">
        <v>5028</v>
      </c>
      <c r="M208" s="213" t="s">
        <v>4736</v>
      </c>
      <c r="N208" s="230" t="s">
        <v>4030</v>
      </c>
    </row>
    <row r="209" spans="1:14">
      <c r="A209" s="226" t="s">
        <v>1654</v>
      </c>
      <c r="B209" s="244" t="s">
        <v>1731</v>
      </c>
      <c r="C209" s="226" t="s">
        <v>1732</v>
      </c>
      <c r="D209" s="226" t="s">
        <v>3206</v>
      </c>
      <c r="E209" s="226" t="s">
        <v>1732</v>
      </c>
      <c r="F209" s="226" t="s">
        <v>1731</v>
      </c>
      <c r="G209" s="226" t="s">
        <v>1654</v>
      </c>
      <c r="H209" s="226" t="s">
        <v>1654</v>
      </c>
      <c r="I209" s="213" t="s">
        <v>4407</v>
      </c>
      <c r="J209" s="226" t="s">
        <v>1732</v>
      </c>
      <c r="K209" s="227" t="s">
        <v>4407</v>
      </c>
      <c r="L209" s="213" t="s">
        <v>4407</v>
      </c>
      <c r="M209" s="213" t="s">
        <v>4407</v>
      </c>
      <c r="N209" s="230" t="s">
        <v>4031</v>
      </c>
    </row>
    <row r="210" spans="1:14">
      <c r="A210" s="226" t="s">
        <v>3786</v>
      </c>
      <c r="B210" s="244" t="s">
        <v>3788</v>
      </c>
      <c r="C210" s="226" t="s">
        <v>3790</v>
      </c>
      <c r="D210" s="226" t="s">
        <v>3792</v>
      </c>
      <c r="E210" s="226" t="s">
        <v>3794</v>
      </c>
      <c r="F210" s="226" t="s">
        <v>3796</v>
      </c>
      <c r="G210" s="226" t="s">
        <v>3798</v>
      </c>
      <c r="H210" s="226" t="s">
        <v>3800</v>
      </c>
      <c r="I210" s="213" t="s">
        <v>5350</v>
      </c>
      <c r="J210" s="226" t="s">
        <v>3802</v>
      </c>
      <c r="K210" s="227" t="s">
        <v>4408</v>
      </c>
      <c r="L210" s="213" t="s">
        <v>5029</v>
      </c>
      <c r="M210" s="213" t="s">
        <v>4737</v>
      </c>
      <c r="N210" s="230" t="s">
        <v>4032</v>
      </c>
    </row>
    <row r="211" spans="1:14">
      <c r="A211" s="226" t="s">
        <v>767</v>
      </c>
      <c r="B211" s="244" t="s">
        <v>1733</v>
      </c>
      <c r="C211" s="226" t="s">
        <v>1734</v>
      </c>
      <c r="D211" s="226" t="s">
        <v>3207</v>
      </c>
      <c r="E211" s="226" t="s">
        <v>662</v>
      </c>
      <c r="F211" s="226" t="s">
        <v>3384</v>
      </c>
      <c r="G211" s="226" t="s">
        <v>1401</v>
      </c>
      <c r="H211" s="226" t="s">
        <v>997</v>
      </c>
      <c r="I211" s="213" t="s">
        <v>5351</v>
      </c>
      <c r="J211" s="226" t="s">
        <v>2113</v>
      </c>
      <c r="K211" s="227" t="s">
        <v>4409</v>
      </c>
      <c r="L211" s="213" t="s">
        <v>5030</v>
      </c>
      <c r="M211" s="213" t="s">
        <v>4738</v>
      </c>
      <c r="N211" s="230" t="s">
        <v>4033</v>
      </c>
    </row>
    <row r="212" spans="1:14" s="226" customFormat="1">
      <c r="A212" s="226" t="s">
        <v>3016</v>
      </c>
      <c r="B212" s="244" t="s">
        <v>3017</v>
      </c>
      <c r="C212" s="226" t="s">
        <v>3017</v>
      </c>
      <c r="D212" s="226" t="s">
        <v>3665</v>
      </c>
      <c r="E212" s="226" t="s">
        <v>3666</v>
      </c>
      <c r="F212" s="226" t="s">
        <v>3667</v>
      </c>
      <c r="G212" s="226" t="s">
        <v>3018</v>
      </c>
      <c r="H212" s="226" t="s">
        <v>3019</v>
      </c>
      <c r="I212" s="213" t="s">
        <v>5352</v>
      </c>
      <c r="J212" s="226" t="s">
        <v>3020</v>
      </c>
      <c r="K212" s="227" t="s">
        <v>4410</v>
      </c>
      <c r="L212" s="213" t="s">
        <v>4410</v>
      </c>
      <c r="M212" s="213" t="s">
        <v>4739</v>
      </c>
      <c r="N212" s="230" t="s">
        <v>4034</v>
      </c>
    </row>
    <row r="213" spans="1:14">
      <c r="A213" s="226" t="s">
        <v>823</v>
      </c>
      <c r="B213" s="244" t="s">
        <v>1735</v>
      </c>
      <c r="C213" s="226" t="s">
        <v>1736</v>
      </c>
      <c r="D213" s="226" t="s">
        <v>3208</v>
      </c>
      <c r="E213" s="226" t="s">
        <v>3042</v>
      </c>
      <c r="F213" s="226" t="s">
        <v>3385</v>
      </c>
      <c r="G213" s="226" t="s">
        <v>1402</v>
      </c>
      <c r="H213" s="226" t="s">
        <v>998</v>
      </c>
      <c r="I213" s="213" t="s">
        <v>5353</v>
      </c>
      <c r="J213" s="226" t="s">
        <v>2170</v>
      </c>
      <c r="K213" s="227" t="s">
        <v>4411</v>
      </c>
      <c r="L213" s="213" t="s">
        <v>5031</v>
      </c>
      <c r="M213" s="213" t="s">
        <v>4411</v>
      </c>
      <c r="N213" s="230" t="s">
        <v>4035</v>
      </c>
    </row>
    <row r="214" spans="1:14" s="226" customFormat="1">
      <c r="A214" s="226" t="s">
        <v>3015</v>
      </c>
      <c r="B214" s="244" t="s">
        <v>3668</v>
      </c>
      <c r="C214" s="226" t="s">
        <v>3669</v>
      </c>
      <c r="D214" s="226" t="s">
        <v>3670</v>
      </c>
      <c r="E214" s="226" t="s">
        <v>3671</v>
      </c>
      <c r="F214" s="226" t="s">
        <v>3672</v>
      </c>
      <c r="G214" s="226" t="s">
        <v>3673</v>
      </c>
      <c r="H214" s="226" t="s">
        <v>3674</v>
      </c>
      <c r="I214" s="213" t="s">
        <v>5354</v>
      </c>
      <c r="J214" s="226" t="s">
        <v>3675</v>
      </c>
      <c r="K214" s="227" t="s">
        <v>4412</v>
      </c>
      <c r="L214" s="213" t="s">
        <v>4412</v>
      </c>
      <c r="M214" s="213" t="s">
        <v>4412</v>
      </c>
      <c r="N214" s="230" t="s">
        <v>4036</v>
      </c>
    </row>
    <row r="215" spans="1:14">
      <c r="A215" s="226" t="s">
        <v>719</v>
      </c>
      <c r="B215" s="244" t="s">
        <v>1737</v>
      </c>
      <c r="C215" s="226" t="s">
        <v>1738</v>
      </c>
      <c r="D215" s="226" t="s">
        <v>3209</v>
      </c>
      <c r="E215" s="226" t="s">
        <v>3043</v>
      </c>
      <c r="F215" s="226" t="s">
        <v>3387</v>
      </c>
      <c r="G215" s="226" t="s">
        <v>1403</v>
      </c>
      <c r="H215" s="226" t="s">
        <v>999</v>
      </c>
      <c r="I215" s="213" t="s">
        <v>5355</v>
      </c>
      <c r="J215" s="226" t="s">
        <v>2171</v>
      </c>
      <c r="K215" s="227" t="s">
        <v>4413</v>
      </c>
      <c r="L215" s="213" t="s">
        <v>5032</v>
      </c>
      <c r="M215" s="213" t="s">
        <v>4740</v>
      </c>
      <c r="N215" s="230" t="s">
        <v>4037</v>
      </c>
    </row>
    <row r="216" spans="1:14">
      <c r="A216" s="226" t="s">
        <v>851</v>
      </c>
      <c r="B216" s="244" t="s">
        <v>1739</v>
      </c>
      <c r="C216" s="226" t="s">
        <v>1740</v>
      </c>
      <c r="D216" s="226" t="s">
        <v>3210</v>
      </c>
      <c r="E216" s="226" t="s">
        <v>3044</v>
      </c>
      <c r="F216" s="226" t="s">
        <v>3388</v>
      </c>
      <c r="G216" s="226" t="s">
        <v>1404</v>
      </c>
      <c r="H216" s="226" t="s">
        <v>1000</v>
      </c>
      <c r="I216" s="213" t="s">
        <v>5356</v>
      </c>
      <c r="J216" s="226" t="s">
        <v>2172</v>
      </c>
      <c r="K216" s="227" t="s">
        <v>4414</v>
      </c>
      <c r="L216" s="213" t="s">
        <v>5033</v>
      </c>
      <c r="M216" s="213" t="s">
        <v>4414</v>
      </c>
      <c r="N216" s="230" t="s">
        <v>4038</v>
      </c>
    </row>
    <row r="217" spans="1:14">
      <c r="A217" s="226" t="s">
        <v>841</v>
      </c>
      <c r="B217" s="244" t="s">
        <v>1741</v>
      </c>
      <c r="C217" s="226" t="s">
        <v>1742</v>
      </c>
      <c r="D217" s="226" t="s">
        <v>3211</v>
      </c>
      <c r="E217" s="226" t="s">
        <v>3045</v>
      </c>
      <c r="F217" s="226" t="s">
        <v>3389</v>
      </c>
      <c r="G217" s="226" t="s">
        <v>1405</v>
      </c>
      <c r="H217" s="226" t="s">
        <v>1001</v>
      </c>
      <c r="I217" s="213" t="s">
        <v>5357</v>
      </c>
      <c r="J217" s="226" t="s">
        <v>2173</v>
      </c>
      <c r="K217" s="227" t="s">
        <v>4415</v>
      </c>
      <c r="L217" s="213" t="s">
        <v>5034</v>
      </c>
      <c r="M217" s="213" t="s">
        <v>4741</v>
      </c>
      <c r="N217" s="230" t="s">
        <v>4039</v>
      </c>
    </row>
    <row r="218" spans="1:14">
      <c r="A218" s="226" t="s">
        <v>1653</v>
      </c>
      <c r="B218" s="244" t="s">
        <v>1743</v>
      </c>
      <c r="C218" s="226" t="s">
        <v>1744</v>
      </c>
      <c r="D218" s="226" t="s">
        <v>3212</v>
      </c>
      <c r="E218" s="226" t="s">
        <v>3046</v>
      </c>
      <c r="F218" s="226" t="s">
        <v>3390</v>
      </c>
      <c r="G218" s="226" t="s">
        <v>1406</v>
      </c>
      <c r="H218" s="226" t="s">
        <v>1002</v>
      </c>
      <c r="I218" s="213" t="s">
        <v>5358</v>
      </c>
      <c r="J218" s="226" t="s">
        <v>2174</v>
      </c>
      <c r="K218" s="227" t="s">
        <v>4416</v>
      </c>
      <c r="L218" s="213" t="s">
        <v>5035</v>
      </c>
      <c r="M218" s="213" t="s">
        <v>4742</v>
      </c>
      <c r="N218" s="230" t="s">
        <v>4040</v>
      </c>
    </row>
    <row r="219" spans="1:14">
      <c r="A219" s="226" t="s">
        <v>1651</v>
      </c>
      <c r="B219" s="244" t="s">
        <v>1745</v>
      </c>
      <c r="C219" s="226" t="s">
        <v>1746</v>
      </c>
      <c r="D219" s="226" t="s">
        <v>3213</v>
      </c>
      <c r="E219" s="226" t="s">
        <v>3047</v>
      </c>
      <c r="F219" s="226" t="s">
        <v>3391</v>
      </c>
      <c r="G219" s="226" t="s">
        <v>1407</v>
      </c>
      <c r="H219" s="226" t="s">
        <v>1003</v>
      </c>
      <c r="I219" s="213" t="s">
        <v>5359</v>
      </c>
      <c r="J219" s="226" t="s">
        <v>2175</v>
      </c>
      <c r="K219" s="227" t="s">
        <v>4417</v>
      </c>
      <c r="L219" s="213" t="s">
        <v>5036</v>
      </c>
      <c r="M219" s="213" t="s">
        <v>4743</v>
      </c>
      <c r="N219" s="230" t="s">
        <v>4041</v>
      </c>
    </row>
    <row r="220" spans="1:14">
      <c r="A220" s="226" t="s">
        <v>843</v>
      </c>
      <c r="B220" s="244" t="s">
        <v>1747</v>
      </c>
      <c r="C220" s="226" t="s">
        <v>1748</v>
      </c>
      <c r="D220" s="226" t="s">
        <v>3214</v>
      </c>
      <c r="E220" s="226" t="s">
        <v>3048</v>
      </c>
      <c r="F220" s="226" t="s">
        <v>3392</v>
      </c>
      <c r="G220" s="226" t="s">
        <v>1408</v>
      </c>
      <c r="H220" s="226" t="s">
        <v>1004</v>
      </c>
      <c r="I220" s="213" t="s">
        <v>5360</v>
      </c>
      <c r="J220" s="226" t="s">
        <v>2176</v>
      </c>
      <c r="K220" s="227" t="s">
        <v>4418</v>
      </c>
      <c r="L220" s="213" t="s">
        <v>5037</v>
      </c>
      <c r="M220" s="213" t="s">
        <v>4418</v>
      </c>
      <c r="N220" s="230" t="s">
        <v>4042</v>
      </c>
    </row>
    <row r="221" spans="1:14">
      <c r="A221" s="226" t="s">
        <v>773</v>
      </c>
      <c r="B221" s="244" t="s">
        <v>1749</v>
      </c>
      <c r="C221" s="226" t="s">
        <v>1750</v>
      </c>
      <c r="D221" s="226" t="s">
        <v>3215</v>
      </c>
      <c r="E221" s="226" t="s">
        <v>3049</v>
      </c>
      <c r="F221" s="226" t="s">
        <v>3393</v>
      </c>
      <c r="G221" s="226" t="s">
        <v>1409</v>
      </c>
      <c r="H221" s="226" t="s">
        <v>1005</v>
      </c>
      <c r="I221" s="213" t="s">
        <v>5361</v>
      </c>
      <c r="J221" s="226" t="s">
        <v>2177</v>
      </c>
      <c r="K221" s="227" t="s">
        <v>4419</v>
      </c>
      <c r="L221" s="213" t="s">
        <v>5038</v>
      </c>
      <c r="M221" s="213" t="s">
        <v>4744</v>
      </c>
      <c r="N221" s="230" t="s">
        <v>4043</v>
      </c>
    </row>
    <row r="222" spans="1:14">
      <c r="A222" s="226" t="s">
        <v>711</v>
      </c>
      <c r="B222" s="244" t="s">
        <v>1751</v>
      </c>
      <c r="C222" s="226" t="s">
        <v>1752</v>
      </c>
      <c r="D222" s="226" t="s">
        <v>3216</v>
      </c>
      <c r="E222" s="226" t="s">
        <v>3050</v>
      </c>
      <c r="F222" s="226" t="s">
        <v>3394</v>
      </c>
      <c r="G222" s="226" t="s">
        <v>1410</v>
      </c>
      <c r="H222" s="226" t="s">
        <v>1006</v>
      </c>
      <c r="I222" s="213" t="s">
        <v>5362</v>
      </c>
      <c r="J222" s="226" t="s">
        <v>2178</v>
      </c>
      <c r="K222" s="227" t="s">
        <v>4420</v>
      </c>
      <c r="L222" s="213" t="s">
        <v>5039</v>
      </c>
      <c r="M222" s="213" t="s">
        <v>4745</v>
      </c>
      <c r="N222" s="230" t="s">
        <v>4044</v>
      </c>
    </row>
    <row r="223" spans="1:14" s="226" customFormat="1">
      <c r="A223" s="226" t="s">
        <v>3025</v>
      </c>
      <c r="B223" s="244" t="s">
        <v>3676</v>
      </c>
      <c r="C223" s="226" t="s">
        <v>3677</v>
      </c>
      <c r="D223" s="226" t="s">
        <v>3678</v>
      </c>
      <c r="E223" s="226" t="s">
        <v>3679</v>
      </c>
      <c r="F223" s="226" t="s">
        <v>3680</v>
      </c>
      <c r="G223" s="226" t="s">
        <v>3681</v>
      </c>
      <c r="H223" s="226" t="s">
        <v>3682</v>
      </c>
      <c r="I223" s="213" t="s">
        <v>5363</v>
      </c>
      <c r="J223" s="226" t="s">
        <v>3683</v>
      </c>
      <c r="K223" s="227" t="s">
        <v>4421</v>
      </c>
      <c r="L223" s="213" t="s">
        <v>4746</v>
      </c>
      <c r="M223" s="213" t="s">
        <v>4746</v>
      </c>
      <c r="N223" s="230" t="s">
        <v>4045</v>
      </c>
    </row>
    <row r="224" spans="1:14">
      <c r="A224" s="226" t="s">
        <v>777</v>
      </c>
      <c r="B224" s="244" t="s">
        <v>1753</v>
      </c>
      <c r="C224" s="226" t="s">
        <v>1754</v>
      </c>
      <c r="D224" s="226" t="s">
        <v>3217</v>
      </c>
      <c r="E224" s="226" t="s">
        <v>3051</v>
      </c>
      <c r="F224" s="226" t="s">
        <v>3395</v>
      </c>
      <c r="G224" s="226" t="s">
        <v>1411</v>
      </c>
      <c r="H224" s="226" t="s">
        <v>1007</v>
      </c>
      <c r="I224" s="213" t="s">
        <v>4422</v>
      </c>
      <c r="J224" s="226" t="s">
        <v>2179</v>
      </c>
      <c r="K224" s="227" t="s">
        <v>4422</v>
      </c>
      <c r="L224" s="213" t="s">
        <v>4422</v>
      </c>
      <c r="M224" s="213" t="s">
        <v>4422</v>
      </c>
      <c r="N224" s="230" t="s">
        <v>4046</v>
      </c>
    </row>
    <row r="225" spans="1:14">
      <c r="A225" s="226" t="s">
        <v>779</v>
      </c>
      <c r="B225" s="244" t="s">
        <v>1755</v>
      </c>
      <c r="C225" s="226" t="s">
        <v>1755</v>
      </c>
      <c r="D225" s="226" t="s">
        <v>3218</v>
      </c>
      <c r="E225" s="226" t="s">
        <v>3052</v>
      </c>
      <c r="F225" s="226" t="s">
        <v>3396</v>
      </c>
      <c r="G225" s="226" t="s">
        <v>1412</v>
      </c>
      <c r="H225" s="226" t="s">
        <v>1008</v>
      </c>
      <c r="I225" s="213" t="s">
        <v>4747</v>
      </c>
      <c r="J225" s="226" t="s">
        <v>2180</v>
      </c>
      <c r="K225" s="227" t="s">
        <v>4423</v>
      </c>
      <c r="L225" s="213" t="s">
        <v>4747</v>
      </c>
      <c r="M225" s="213" t="s">
        <v>4747</v>
      </c>
      <c r="N225" s="230" t="s">
        <v>4047</v>
      </c>
    </row>
    <row r="226" spans="1:14">
      <c r="A226" s="226" t="s">
        <v>776</v>
      </c>
      <c r="B226" s="244" t="s">
        <v>1756</v>
      </c>
      <c r="C226" s="226" t="s">
        <v>1757</v>
      </c>
      <c r="D226" s="226" t="s">
        <v>3219</v>
      </c>
      <c r="E226" s="226" t="s">
        <v>3053</v>
      </c>
      <c r="F226" s="226" t="s">
        <v>3397</v>
      </c>
      <c r="G226" s="226" t="s">
        <v>1413</v>
      </c>
      <c r="H226" s="226" t="s">
        <v>1009</v>
      </c>
      <c r="I226" s="213" t="s">
        <v>5364</v>
      </c>
      <c r="J226" s="226" t="s">
        <v>2181</v>
      </c>
      <c r="K226" s="227" t="s">
        <v>4424</v>
      </c>
      <c r="L226" s="213" t="s">
        <v>5040</v>
      </c>
      <c r="M226" s="213" t="s">
        <v>4748</v>
      </c>
      <c r="N226" s="230" t="s">
        <v>4048</v>
      </c>
    </row>
    <row r="227" spans="1:14">
      <c r="A227" s="226" t="s">
        <v>3024</v>
      </c>
      <c r="B227" s="244" t="s">
        <v>4201</v>
      </c>
      <c r="C227" s="226" t="s">
        <v>4202</v>
      </c>
      <c r="D227" s="226" t="s">
        <v>4203</v>
      </c>
      <c r="E227" s="226" t="s">
        <v>4204</v>
      </c>
      <c r="F227" s="226" t="s">
        <v>4205</v>
      </c>
      <c r="G227" s="226" t="s">
        <v>4206</v>
      </c>
      <c r="H227" s="226" t="s">
        <v>4207</v>
      </c>
      <c r="I227" s="213" t="s">
        <v>5365</v>
      </c>
      <c r="J227" s="226" t="s">
        <v>4208</v>
      </c>
      <c r="K227" s="227" t="s">
        <v>4425</v>
      </c>
      <c r="L227" s="213" t="s">
        <v>5041</v>
      </c>
      <c r="M227" s="213" t="s">
        <v>4749</v>
      </c>
      <c r="N227" s="230" t="s">
        <v>4049</v>
      </c>
    </row>
    <row r="228" spans="1:14">
      <c r="A228" s="226" t="s">
        <v>778</v>
      </c>
      <c r="B228" s="244" t="s">
        <v>778</v>
      </c>
      <c r="C228" s="226" t="s">
        <v>778</v>
      </c>
      <c r="D228" s="226" t="s">
        <v>3220</v>
      </c>
      <c r="E228" s="226" t="s">
        <v>3054</v>
      </c>
      <c r="F228" s="226" t="s">
        <v>3398</v>
      </c>
      <c r="G228" s="226" t="s">
        <v>1414</v>
      </c>
      <c r="H228" s="226" t="s">
        <v>1010</v>
      </c>
      <c r="I228" s="213" t="s">
        <v>5366</v>
      </c>
      <c r="J228" s="226" t="s">
        <v>2182</v>
      </c>
      <c r="K228" s="227" t="s">
        <v>4426</v>
      </c>
      <c r="L228" s="213" t="s">
        <v>4426</v>
      </c>
      <c r="M228" s="213" t="s">
        <v>4426</v>
      </c>
      <c r="N228" s="230" t="s">
        <v>4050</v>
      </c>
    </row>
    <row r="229" spans="1:14" s="226" customFormat="1">
      <c r="A229" s="226" t="s">
        <v>3028</v>
      </c>
      <c r="B229" s="244" t="s">
        <v>3684</v>
      </c>
      <c r="C229" s="226" t="s">
        <v>3685</v>
      </c>
      <c r="D229" s="226" t="s">
        <v>3686</v>
      </c>
      <c r="E229" s="226" t="s">
        <v>3687</v>
      </c>
      <c r="F229" s="226" t="s">
        <v>3688</v>
      </c>
      <c r="G229" s="226" t="s">
        <v>3689</v>
      </c>
      <c r="H229" s="226" t="s">
        <v>3690</v>
      </c>
      <c r="I229" s="213" t="s">
        <v>5367</v>
      </c>
      <c r="J229" s="226" t="s">
        <v>3686</v>
      </c>
      <c r="K229" s="227" t="s">
        <v>4427</v>
      </c>
      <c r="L229" s="213" t="s">
        <v>5042</v>
      </c>
      <c r="M229" s="213" t="s">
        <v>4750</v>
      </c>
      <c r="N229" s="230" t="s">
        <v>4051</v>
      </c>
    </row>
    <row r="230" spans="1:14">
      <c r="A230" s="226" t="s">
        <v>1650</v>
      </c>
      <c r="B230" s="244" t="s">
        <v>1758</v>
      </c>
      <c r="C230" s="226" t="s">
        <v>1759</v>
      </c>
      <c r="D230" s="226" t="s">
        <v>3221</v>
      </c>
      <c r="E230" s="226" t="s">
        <v>3055</v>
      </c>
      <c r="F230" s="226" t="s">
        <v>3399</v>
      </c>
      <c r="G230" s="226" t="s">
        <v>1415</v>
      </c>
      <c r="H230" s="226" t="s">
        <v>1011</v>
      </c>
      <c r="I230" s="213" t="s">
        <v>5368</v>
      </c>
      <c r="J230" s="226" t="s">
        <v>2183</v>
      </c>
      <c r="K230" s="227" t="s">
        <v>4428</v>
      </c>
      <c r="L230" s="213" t="s">
        <v>5043</v>
      </c>
      <c r="M230" s="213" t="s">
        <v>4751</v>
      </c>
      <c r="N230" s="230" t="s">
        <v>4052</v>
      </c>
    </row>
    <row r="231" spans="1:14">
      <c r="A231" s="226" t="s">
        <v>1649</v>
      </c>
      <c r="B231" s="244" t="s">
        <v>1760</v>
      </c>
      <c r="C231" s="226" t="s">
        <v>1761</v>
      </c>
      <c r="D231" s="226" t="s">
        <v>3222</v>
      </c>
      <c r="E231" s="226" t="s">
        <v>3056</v>
      </c>
      <c r="F231" s="226" t="s">
        <v>3400</v>
      </c>
      <c r="G231" s="226" t="s">
        <v>1416</v>
      </c>
      <c r="H231" s="226" t="s">
        <v>1012</v>
      </c>
      <c r="I231" s="213" t="s">
        <v>5369</v>
      </c>
      <c r="J231" s="226" t="s">
        <v>2184</v>
      </c>
      <c r="K231" s="227" t="s">
        <v>4429</v>
      </c>
      <c r="L231" s="213" t="s">
        <v>5044</v>
      </c>
      <c r="M231" s="213" t="s">
        <v>4752</v>
      </c>
      <c r="N231" s="230" t="s">
        <v>4053</v>
      </c>
    </row>
    <row r="232" spans="1:14" s="226" customFormat="1">
      <c r="A232" s="226" t="s">
        <v>3023</v>
      </c>
      <c r="B232" s="244" t="s">
        <v>3691</v>
      </c>
      <c r="C232" s="226" t="s">
        <v>3692</v>
      </c>
      <c r="D232" s="226" t="s">
        <v>3693</v>
      </c>
      <c r="E232" s="226" t="s">
        <v>3694</v>
      </c>
      <c r="F232" s="226" t="s">
        <v>3695</v>
      </c>
      <c r="G232" s="226" t="s">
        <v>3696</v>
      </c>
      <c r="H232" s="226" t="s">
        <v>3697</v>
      </c>
      <c r="I232" s="213" t="s">
        <v>5370</v>
      </c>
      <c r="J232" s="226" t="s">
        <v>3698</v>
      </c>
      <c r="K232" s="227" t="s">
        <v>4430</v>
      </c>
      <c r="L232" s="213" t="s">
        <v>5045</v>
      </c>
      <c r="M232" s="213" t="s">
        <v>4753</v>
      </c>
      <c r="N232" s="230" t="s">
        <v>4054</v>
      </c>
    </row>
    <row r="233" spans="1:14">
      <c r="A233" s="226" t="s">
        <v>718</v>
      </c>
      <c r="B233" s="244" t="s">
        <v>1762</v>
      </c>
      <c r="C233" s="226" t="s">
        <v>1763</v>
      </c>
      <c r="D233" s="226" t="s">
        <v>3223</v>
      </c>
      <c r="E233" s="226" t="s">
        <v>3057</v>
      </c>
      <c r="F233" s="226" t="s">
        <v>3401</v>
      </c>
      <c r="G233" s="226" t="s">
        <v>1417</v>
      </c>
      <c r="H233" s="226" t="s">
        <v>1013</v>
      </c>
      <c r="I233" s="213" t="s">
        <v>5371</v>
      </c>
      <c r="J233" s="226" t="s">
        <v>2185</v>
      </c>
      <c r="K233" s="227" t="s">
        <v>4431</v>
      </c>
      <c r="L233" s="213" t="s">
        <v>5046</v>
      </c>
      <c r="M233" s="213" t="s">
        <v>4754</v>
      </c>
      <c r="N233" s="230" t="s">
        <v>4055</v>
      </c>
    </row>
    <row r="234" spans="1:14">
      <c r="A234" s="226" t="s">
        <v>759</v>
      </c>
      <c r="B234" s="244" t="s">
        <v>1764</v>
      </c>
      <c r="C234" s="226" t="s">
        <v>1765</v>
      </c>
      <c r="D234" s="226" t="s">
        <v>3224</v>
      </c>
      <c r="E234" s="226" t="s">
        <v>3058</v>
      </c>
      <c r="F234" s="226" t="s">
        <v>3402</v>
      </c>
      <c r="G234" s="226" t="s">
        <v>1418</v>
      </c>
      <c r="H234" s="226" t="s">
        <v>1014</v>
      </c>
      <c r="I234" s="213" t="s">
        <v>5372</v>
      </c>
      <c r="J234" s="226" t="s">
        <v>2186</v>
      </c>
      <c r="K234" s="227" t="s">
        <v>4432</v>
      </c>
      <c r="L234" s="213" t="s">
        <v>5047</v>
      </c>
      <c r="M234" s="213" t="s">
        <v>4755</v>
      </c>
      <c r="N234" s="230" t="s">
        <v>4056</v>
      </c>
    </row>
    <row r="235" spans="1:14">
      <c r="A235" s="226" t="s">
        <v>804</v>
      </c>
      <c r="B235" s="244" t="s">
        <v>1766</v>
      </c>
      <c r="C235" s="226" t="s">
        <v>1767</v>
      </c>
      <c r="D235" s="226" t="s">
        <v>3225</v>
      </c>
      <c r="E235" s="226" t="s">
        <v>3059</v>
      </c>
      <c r="F235" s="226" t="s">
        <v>3403</v>
      </c>
      <c r="G235" s="226" t="s">
        <v>1419</v>
      </c>
      <c r="H235" s="226" t="s">
        <v>1015</v>
      </c>
      <c r="I235" s="213" t="s">
        <v>5373</v>
      </c>
      <c r="J235" s="226" t="s">
        <v>2187</v>
      </c>
      <c r="K235" s="227" t="s">
        <v>4433</v>
      </c>
      <c r="L235" s="213" t="s">
        <v>5048</v>
      </c>
      <c r="M235" s="213" t="s">
        <v>4756</v>
      </c>
      <c r="N235" s="230" t="s">
        <v>4057</v>
      </c>
    </row>
    <row r="236" spans="1:14">
      <c r="A236" s="226" t="s">
        <v>741</v>
      </c>
      <c r="B236" s="244" t="s">
        <v>1768</v>
      </c>
      <c r="C236" s="226" t="s">
        <v>1769</v>
      </c>
      <c r="D236" s="226" t="s">
        <v>3226</v>
      </c>
      <c r="E236" s="226" t="s">
        <v>3060</v>
      </c>
      <c r="F236" s="226" t="s">
        <v>3404</v>
      </c>
      <c r="G236" s="226" t="s">
        <v>1420</v>
      </c>
      <c r="H236" s="226" t="s">
        <v>1016</v>
      </c>
      <c r="I236" s="213" t="s">
        <v>5374</v>
      </c>
      <c r="J236" s="226" t="s">
        <v>2188</v>
      </c>
      <c r="K236" s="227" t="s">
        <v>4434</v>
      </c>
      <c r="L236" s="213" t="s">
        <v>5049</v>
      </c>
      <c r="M236" s="213" t="s">
        <v>4757</v>
      </c>
      <c r="N236" s="230" t="s">
        <v>4058</v>
      </c>
    </row>
    <row r="237" spans="1:14">
      <c r="A237" s="226" t="s">
        <v>740</v>
      </c>
      <c r="B237" s="244" t="s">
        <v>1770</v>
      </c>
      <c r="C237" s="226" t="s">
        <v>1771</v>
      </c>
      <c r="D237" s="226" t="s">
        <v>3227</v>
      </c>
      <c r="E237" s="226" t="s">
        <v>3061</v>
      </c>
      <c r="F237" s="226" t="s">
        <v>3405</v>
      </c>
      <c r="G237" s="226" t="s">
        <v>1421</v>
      </c>
      <c r="H237" s="226" t="s">
        <v>1017</v>
      </c>
      <c r="I237" s="213" t="s">
        <v>5375</v>
      </c>
      <c r="J237" s="226" t="s">
        <v>2189</v>
      </c>
      <c r="K237" s="227" t="s">
        <v>4435</v>
      </c>
      <c r="L237" s="213" t="s">
        <v>5050</v>
      </c>
      <c r="M237" s="213" t="s">
        <v>4758</v>
      </c>
      <c r="N237" s="230" t="s">
        <v>4059</v>
      </c>
    </row>
    <row r="238" spans="1:14">
      <c r="A238" s="226" t="s">
        <v>720</v>
      </c>
      <c r="B238" s="244" t="s">
        <v>1772</v>
      </c>
      <c r="C238" s="226" t="s">
        <v>1773</v>
      </c>
      <c r="D238" s="226" t="s">
        <v>3228</v>
      </c>
      <c r="E238" s="226" t="s">
        <v>3062</v>
      </c>
      <c r="F238" s="226" t="s">
        <v>3406</v>
      </c>
      <c r="G238" s="226" t="s">
        <v>1422</v>
      </c>
      <c r="H238" s="226" t="s">
        <v>1018</v>
      </c>
      <c r="I238" s="213" t="s">
        <v>5376</v>
      </c>
      <c r="J238" s="226" t="s">
        <v>2190</v>
      </c>
      <c r="K238" s="227" t="s">
        <v>4436</v>
      </c>
      <c r="L238" s="213" t="s">
        <v>5051</v>
      </c>
      <c r="M238" s="213" t="s">
        <v>4759</v>
      </c>
      <c r="N238" s="230" t="s">
        <v>4060</v>
      </c>
    </row>
    <row r="239" spans="1:14">
      <c r="A239" s="226" t="s">
        <v>731</v>
      </c>
      <c r="B239" s="244" t="s">
        <v>1774</v>
      </c>
      <c r="C239" s="226" t="s">
        <v>1775</v>
      </c>
      <c r="D239" s="226" t="s">
        <v>3229</v>
      </c>
      <c r="E239" s="226" t="s">
        <v>3063</v>
      </c>
      <c r="F239" s="226" t="s">
        <v>3407</v>
      </c>
      <c r="G239" s="226" t="s">
        <v>1423</v>
      </c>
      <c r="H239" s="226" t="s">
        <v>1019</v>
      </c>
      <c r="I239" s="213" t="s">
        <v>5377</v>
      </c>
      <c r="J239" s="226" t="s">
        <v>2191</v>
      </c>
      <c r="K239" s="227" t="s">
        <v>4437</v>
      </c>
      <c r="L239" s="213" t="s">
        <v>5052</v>
      </c>
      <c r="M239" s="213" t="s">
        <v>4760</v>
      </c>
      <c r="N239" s="230" t="s">
        <v>4061</v>
      </c>
    </row>
    <row r="240" spans="1:14">
      <c r="A240" s="226" t="s">
        <v>1648</v>
      </c>
      <c r="B240" s="244" t="s">
        <v>1776</v>
      </c>
      <c r="C240" s="226" t="s">
        <v>1777</v>
      </c>
      <c r="D240" s="226" t="s">
        <v>3230</v>
      </c>
      <c r="E240" s="226" t="s">
        <v>3064</v>
      </c>
      <c r="F240" s="226" t="s">
        <v>3408</v>
      </c>
      <c r="G240" s="226" t="s">
        <v>1424</v>
      </c>
      <c r="H240" s="226" t="s">
        <v>1020</v>
      </c>
      <c r="I240" s="213" t="s">
        <v>5378</v>
      </c>
      <c r="J240" s="226" t="s">
        <v>2192</v>
      </c>
      <c r="K240" s="227" t="s">
        <v>4438</v>
      </c>
      <c r="L240" s="213" t="s">
        <v>5053</v>
      </c>
      <c r="M240" s="213" t="s">
        <v>4761</v>
      </c>
      <c r="N240" s="230" t="s">
        <v>4062</v>
      </c>
    </row>
    <row r="241" spans="1:14">
      <c r="A241" s="226" t="s">
        <v>705</v>
      </c>
      <c r="B241" s="244" t="s">
        <v>1778</v>
      </c>
      <c r="C241" s="226" t="s">
        <v>1779</v>
      </c>
      <c r="D241" s="226" t="s">
        <v>3231</v>
      </c>
      <c r="E241" s="226" t="s">
        <v>3065</v>
      </c>
      <c r="F241" s="226" t="s">
        <v>3409</v>
      </c>
      <c r="G241" s="226" t="s">
        <v>1425</v>
      </c>
      <c r="H241" s="226" t="s">
        <v>1021</v>
      </c>
      <c r="I241" s="213" t="s">
        <v>5379</v>
      </c>
      <c r="J241" s="226" t="s">
        <v>2193</v>
      </c>
      <c r="K241" s="227" t="s">
        <v>4439</v>
      </c>
      <c r="L241" s="213" t="s">
        <v>5054</v>
      </c>
      <c r="M241" s="213" t="s">
        <v>4762</v>
      </c>
      <c r="N241" s="230" t="s">
        <v>4063</v>
      </c>
    </row>
    <row r="242" spans="1:14">
      <c r="A242" s="226" t="s">
        <v>1647</v>
      </c>
      <c r="B242" s="244" t="s">
        <v>1780</v>
      </c>
      <c r="C242" s="226" t="s">
        <v>1781</v>
      </c>
      <c r="D242" s="226" t="s">
        <v>3232</v>
      </c>
      <c r="E242" s="226" t="s">
        <v>3066</v>
      </c>
      <c r="F242" s="226" t="s">
        <v>3410</v>
      </c>
      <c r="G242" s="226" t="s">
        <v>1426</v>
      </c>
      <c r="H242" s="226" t="s">
        <v>1022</v>
      </c>
      <c r="I242" s="213" t="s">
        <v>5380</v>
      </c>
      <c r="J242" s="226" t="s">
        <v>1647</v>
      </c>
      <c r="K242" s="227" t="s">
        <v>4440</v>
      </c>
      <c r="L242" s="213" t="s">
        <v>5055</v>
      </c>
      <c r="M242" s="213" t="s">
        <v>4763</v>
      </c>
      <c r="N242" s="230" t="s">
        <v>4064</v>
      </c>
    </row>
    <row r="243" spans="1:14">
      <c r="A243" s="226" t="s">
        <v>859</v>
      </c>
      <c r="B243" s="244" t="s">
        <v>1782</v>
      </c>
      <c r="C243" s="226" t="s">
        <v>1783</v>
      </c>
      <c r="D243" s="226" t="s">
        <v>3233</v>
      </c>
      <c r="E243" s="226" t="s">
        <v>3067</v>
      </c>
      <c r="F243" s="226" t="s">
        <v>3411</v>
      </c>
      <c r="G243" s="226" t="s">
        <v>1427</v>
      </c>
      <c r="H243" s="226" t="s">
        <v>1023</v>
      </c>
      <c r="I243" s="213" t="s">
        <v>5381</v>
      </c>
      <c r="J243" s="226" t="s">
        <v>2194</v>
      </c>
      <c r="K243" s="227" t="s">
        <v>4441</v>
      </c>
      <c r="L243" s="213" t="s">
        <v>5056</v>
      </c>
      <c r="M243" s="213" t="s">
        <v>4764</v>
      </c>
      <c r="N243" s="230" t="s">
        <v>4065</v>
      </c>
    </row>
    <row r="244" spans="1:14">
      <c r="A244" s="228" t="s">
        <v>856</v>
      </c>
      <c r="B244" s="246" t="s">
        <v>1784</v>
      </c>
      <c r="C244" s="235" t="s">
        <v>1785</v>
      </c>
      <c r="D244" s="228" t="s">
        <v>3234</v>
      </c>
      <c r="E244" s="228" t="s">
        <v>3068</v>
      </c>
      <c r="F244" s="228" t="s">
        <v>3412</v>
      </c>
      <c r="G244" s="226" t="s">
        <v>1428</v>
      </c>
      <c r="H244" s="228" t="s">
        <v>1024</v>
      </c>
      <c r="I244" s="220" t="s">
        <v>5382</v>
      </c>
      <c r="J244" s="226" t="s">
        <v>2195</v>
      </c>
      <c r="K244" s="247" t="s">
        <v>4442</v>
      </c>
      <c r="L244" s="220" t="s">
        <v>5057</v>
      </c>
      <c r="M244" s="220" t="s">
        <v>4765</v>
      </c>
      <c r="N244" s="230" t="s">
        <v>4066</v>
      </c>
    </row>
    <row r="245" spans="1:14">
      <c r="A245" s="228" t="s">
        <v>858</v>
      </c>
      <c r="B245" s="246" t="s">
        <v>1786</v>
      </c>
      <c r="C245" s="235" t="s">
        <v>1787</v>
      </c>
      <c r="D245" s="228" t="s">
        <v>3235</v>
      </c>
      <c r="E245" s="228" t="s">
        <v>3069</v>
      </c>
      <c r="F245" s="228" t="s">
        <v>3413</v>
      </c>
      <c r="G245" s="226" t="s">
        <v>1429</v>
      </c>
      <c r="H245" s="228" t="s">
        <v>1025</v>
      </c>
      <c r="I245" s="220" t="s">
        <v>5383</v>
      </c>
      <c r="J245" s="226" t="s">
        <v>2196</v>
      </c>
      <c r="K245" s="247" t="s">
        <v>4443</v>
      </c>
      <c r="L245" s="220" t="s">
        <v>5058</v>
      </c>
      <c r="M245" s="220" t="s">
        <v>4766</v>
      </c>
      <c r="N245" s="230" t="s">
        <v>4067</v>
      </c>
    </row>
    <row r="246" spans="1:14" s="226" customFormat="1">
      <c r="A246" s="226" t="s">
        <v>3350</v>
      </c>
      <c r="B246" s="244" t="s">
        <v>3351</v>
      </c>
      <c r="C246" s="226" t="s">
        <v>3356</v>
      </c>
      <c r="D246" s="226" t="s">
        <v>3236</v>
      </c>
      <c r="E246" s="226" t="s">
        <v>3352</v>
      </c>
      <c r="F246" s="226" t="s">
        <v>3529</v>
      </c>
      <c r="G246" s="226" t="s">
        <v>3353</v>
      </c>
      <c r="H246" s="226" t="s">
        <v>3354</v>
      </c>
      <c r="I246" s="213" t="s">
        <v>5384</v>
      </c>
      <c r="J246" s="226" t="s">
        <v>3355</v>
      </c>
      <c r="K246" s="227" t="s">
        <v>4444</v>
      </c>
      <c r="L246" s="213" t="s">
        <v>5059</v>
      </c>
      <c r="M246" s="213" t="s">
        <v>4767</v>
      </c>
      <c r="N246" s="230" t="s">
        <v>4068</v>
      </c>
    </row>
    <row r="247" spans="1:14">
      <c r="A247" s="226" t="s">
        <v>1646</v>
      </c>
      <c r="B247" s="244" t="s">
        <v>1788</v>
      </c>
      <c r="C247" s="226" t="s">
        <v>1789</v>
      </c>
      <c r="D247" s="226" t="s">
        <v>3237</v>
      </c>
      <c r="E247" s="226" t="s">
        <v>3070</v>
      </c>
      <c r="F247" s="226" t="s">
        <v>3414</v>
      </c>
      <c r="G247" s="226" t="s">
        <v>1430</v>
      </c>
      <c r="H247" s="226" t="s">
        <v>1026</v>
      </c>
      <c r="I247" s="213" t="s">
        <v>5385</v>
      </c>
      <c r="J247" s="226" t="s">
        <v>2197</v>
      </c>
      <c r="K247" s="227" t="s">
        <v>4445</v>
      </c>
      <c r="L247" s="213" t="s">
        <v>5060</v>
      </c>
      <c r="M247" s="213" t="s">
        <v>4768</v>
      </c>
      <c r="N247" s="230" t="s">
        <v>4069</v>
      </c>
    </row>
    <row r="248" spans="1:14">
      <c r="A248" s="226" t="s">
        <v>1645</v>
      </c>
      <c r="B248" s="244" t="s">
        <v>1790</v>
      </c>
      <c r="C248" s="226" t="s">
        <v>1791</v>
      </c>
      <c r="D248" s="226" t="s">
        <v>3238</v>
      </c>
      <c r="E248" s="226" t="s">
        <v>3071</v>
      </c>
      <c r="F248" s="226" t="s">
        <v>3415</v>
      </c>
      <c r="G248" s="226" t="s">
        <v>1431</v>
      </c>
      <c r="H248" s="226" t="s">
        <v>1027</v>
      </c>
      <c r="I248" s="213" t="s">
        <v>5386</v>
      </c>
      <c r="J248" s="226" t="s">
        <v>2198</v>
      </c>
      <c r="K248" s="227" t="s">
        <v>4446</v>
      </c>
      <c r="L248" s="213" t="s">
        <v>5061</v>
      </c>
      <c r="M248" s="213" t="s">
        <v>4769</v>
      </c>
      <c r="N248" s="230" t="s">
        <v>4070</v>
      </c>
    </row>
    <row r="249" spans="1:14">
      <c r="A249" s="226" t="s">
        <v>700</v>
      </c>
      <c r="B249" s="244" t="s">
        <v>1792</v>
      </c>
      <c r="C249" s="226" t="s">
        <v>1793</v>
      </c>
      <c r="D249" s="226" t="s">
        <v>3239</v>
      </c>
      <c r="E249" s="226" t="s">
        <v>3072</v>
      </c>
      <c r="F249" s="226" t="s">
        <v>3416</v>
      </c>
      <c r="G249" s="226" t="s">
        <v>1432</v>
      </c>
      <c r="H249" s="226" t="s">
        <v>1028</v>
      </c>
      <c r="I249" s="213" t="s">
        <v>5387</v>
      </c>
      <c r="J249" s="226" t="s">
        <v>2199</v>
      </c>
      <c r="K249" s="227" t="s">
        <v>4447</v>
      </c>
      <c r="L249" s="213" t="s">
        <v>5062</v>
      </c>
      <c r="M249" s="213" t="s">
        <v>4770</v>
      </c>
      <c r="N249" s="230" t="s">
        <v>4071</v>
      </c>
    </row>
    <row r="250" spans="1:14">
      <c r="A250" s="226" t="s">
        <v>1644</v>
      </c>
      <c r="B250" s="244" t="s">
        <v>1794</v>
      </c>
      <c r="C250" s="226" t="s">
        <v>1795</v>
      </c>
      <c r="D250" s="226" t="s">
        <v>3240</v>
      </c>
      <c r="E250" s="226" t="s">
        <v>3073</v>
      </c>
      <c r="F250" s="226" t="s">
        <v>3417</v>
      </c>
      <c r="G250" s="226" t="s">
        <v>1433</v>
      </c>
      <c r="H250" s="226" t="s">
        <v>1029</v>
      </c>
      <c r="I250" s="213" t="s">
        <v>5388</v>
      </c>
      <c r="J250" s="226" t="s">
        <v>2200</v>
      </c>
      <c r="K250" s="227" t="s">
        <v>4448</v>
      </c>
      <c r="L250" s="213" t="s">
        <v>5063</v>
      </c>
      <c r="M250" s="213" t="s">
        <v>4771</v>
      </c>
      <c r="N250" s="230" t="s">
        <v>4072</v>
      </c>
    </row>
    <row r="251" spans="1:14">
      <c r="A251" s="226" t="s">
        <v>761</v>
      </c>
      <c r="B251" s="244" t="s">
        <v>1796</v>
      </c>
      <c r="C251" s="226" t="s">
        <v>1797</v>
      </c>
      <c r="D251" s="226" t="s">
        <v>3241</v>
      </c>
      <c r="E251" s="226" t="s">
        <v>3074</v>
      </c>
      <c r="F251" s="226" t="s">
        <v>3418</v>
      </c>
      <c r="G251" s="226" t="s">
        <v>1434</v>
      </c>
      <c r="H251" s="226" t="s">
        <v>1030</v>
      </c>
      <c r="I251" s="213" t="s">
        <v>5389</v>
      </c>
      <c r="J251" s="226" t="s">
        <v>2201</v>
      </c>
      <c r="K251" s="227" t="s">
        <v>4449</v>
      </c>
      <c r="L251" s="213" t="s">
        <v>5064</v>
      </c>
      <c r="M251" s="213" t="s">
        <v>4772</v>
      </c>
      <c r="N251" s="230" t="s">
        <v>4073</v>
      </c>
    </row>
    <row r="252" spans="1:14">
      <c r="A252" s="226" t="s">
        <v>1643</v>
      </c>
      <c r="B252" s="244" t="s">
        <v>1798</v>
      </c>
      <c r="C252" s="226" t="s">
        <v>1799</v>
      </c>
      <c r="D252" s="226" t="s">
        <v>3242</v>
      </c>
      <c r="E252" s="226" t="s">
        <v>3075</v>
      </c>
      <c r="F252" s="226" t="s">
        <v>3419</v>
      </c>
      <c r="G252" s="226" t="s">
        <v>1435</v>
      </c>
      <c r="H252" s="226" t="s">
        <v>1031</v>
      </c>
      <c r="I252" s="213" t="s">
        <v>5390</v>
      </c>
      <c r="J252" s="226" t="s">
        <v>2202</v>
      </c>
      <c r="K252" s="227" t="s">
        <v>4450</v>
      </c>
      <c r="L252" s="213" t="s">
        <v>5065</v>
      </c>
      <c r="M252" s="213" t="s">
        <v>4773</v>
      </c>
      <c r="N252" s="230" t="s">
        <v>4074</v>
      </c>
    </row>
    <row r="253" spans="1:14">
      <c r="A253" s="226" t="s">
        <v>864</v>
      </c>
      <c r="B253" s="244" t="s">
        <v>1800</v>
      </c>
      <c r="C253" s="226" t="s">
        <v>1801</v>
      </c>
      <c r="D253" s="226" t="s">
        <v>3243</v>
      </c>
      <c r="E253" s="226" t="s">
        <v>3076</v>
      </c>
      <c r="F253" s="226" t="s">
        <v>3420</v>
      </c>
      <c r="G253" s="226" t="s">
        <v>1436</v>
      </c>
      <c r="H253" s="226" t="s">
        <v>1032</v>
      </c>
      <c r="I253" s="213" t="s">
        <v>5391</v>
      </c>
      <c r="J253" s="226" t="s">
        <v>2203</v>
      </c>
      <c r="K253" s="227" t="s">
        <v>4451</v>
      </c>
      <c r="L253" s="213" t="s">
        <v>5066</v>
      </c>
      <c r="M253" s="213" t="s">
        <v>4774</v>
      </c>
      <c r="N253" s="230" t="s">
        <v>4075</v>
      </c>
    </row>
    <row r="254" spans="1:14">
      <c r="A254" s="63" t="s">
        <v>1642</v>
      </c>
      <c r="B254" s="244" t="s">
        <v>1802</v>
      </c>
      <c r="C254" s="226" t="s">
        <v>1803</v>
      </c>
      <c r="D254" s="63" t="s">
        <v>3244</v>
      </c>
      <c r="E254" s="63" t="s">
        <v>3077</v>
      </c>
      <c r="F254" s="63" t="s">
        <v>3421</v>
      </c>
      <c r="G254" s="63" t="s">
        <v>1437</v>
      </c>
      <c r="H254" s="63" t="s">
        <v>1033</v>
      </c>
      <c r="I254" s="221" t="s">
        <v>5392</v>
      </c>
      <c r="J254" s="226" t="s">
        <v>2204</v>
      </c>
      <c r="K254" s="248" t="s">
        <v>4452</v>
      </c>
      <c r="L254" s="221" t="s">
        <v>5067</v>
      </c>
      <c r="M254" s="221" t="s">
        <v>4775</v>
      </c>
      <c r="N254" s="230" t="s">
        <v>4076</v>
      </c>
    </row>
    <row r="255" spans="1:14">
      <c r="A255" s="63" t="s">
        <v>1641</v>
      </c>
      <c r="B255" s="244" t="s">
        <v>1804</v>
      </c>
      <c r="C255" s="226" t="s">
        <v>1805</v>
      </c>
      <c r="D255" s="63" t="s">
        <v>3245</v>
      </c>
      <c r="E255" s="63" t="s">
        <v>3078</v>
      </c>
      <c r="F255" s="63" t="s">
        <v>3422</v>
      </c>
      <c r="G255" s="63" t="s">
        <v>1438</v>
      </c>
      <c r="H255" s="63" t="s">
        <v>1034</v>
      </c>
      <c r="I255" s="221" t="s">
        <v>5393</v>
      </c>
      <c r="J255" s="226" t="s">
        <v>2205</v>
      </c>
      <c r="K255" s="248" t="s">
        <v>4453</v>
      </c>
      <c r="L255" s="221" t="s">
        <v>5068</v>
      </c>
      <c r="M255" s="221" t="s">
        <v>4776</v>
      </c>
      <c r="N255" s="230" t="s">
        <v>4077</v>
      </c>
    </row>
    <row r="256" spans="1:14">
      <c r="A256" s="63" t="s">
        <v>1640</v>
      </c>
      <c r="B256" s="244" t="s">
        <v>1806</v>
      </c>
      <c r="C256" s="226" t="s">
        <v>1807</v>
      </c>
      <c r="D256" s="63" t="s">
        <v>3246</v>
      </c>
      <c r="E256" s="63" t="s">
        <v>3079</v>
      </c>
      <c r="F256" s="63" t="s">
        <v>3423</v>
      </c>
      <c r="G256" s="63" t="s">
        <v>1439</v>
      </c>
      <c r="H256" s="63" t="s">
        <v>1035</v>
      </c>
      <c r="I256" s="221" t="s">
        <v>5394</v>
      </c>
      <c r="J256" s="226" t="s">
        <v>2206</v>
      </c>
      <c r="K256" s="248" t="s">
        <v>4454</v>
      </c>
      <c r="L256" s="221" t="s">
        <v>5069</v>
      </c>
      <c r="M256" s="221" t="s">
        <v>4777</v>
      </c>
      <c r="N256" s="230" t="s">
        <v>4078</v>
      </c>
    </row>
    <row r="257" spans="1:14">
      <c r="A257" s="63" t="s">
        <v>845</v>
      </c>
      <c r="B257" s="244" t="s">
        <v>1808</v>
      </c>
      <c r="C257" s="226" t="s">
        <v>1809</v>
      </c>
      <c r="D257" s="63" t="s">
        <v>3247</v>
      </c>
      <c r="E257" s="63" t="s">
        <v>3080</v>
      </c>
      <c r="F257" s="63" t="s">
        <v>3424</v>
      </c>
      <c r="G257" s="63" t="s">
        <v>1440</v>
      </c>
      <c r="H257" s="63" t="s">
        <v>1036</v>
      </c>
      <c r="I257" s="221" t="s">
        <v>5395</v>
      </c>
      <c r="J257" s="226" t="s">
        <v>2207</v>
      </c>
      <c r="K257" s="248" t="s">
        <v>4455</v>
      </c>
      <c r="L257" s="221" t="s">
        <v>5070</v>
      </c>
      <c r="M257" s="221" t="s">
        <v>4778</v>
      </c>
      <c r="N257" s="230" t="s">
        <v>4079</v>
      </c>
    </row>
    <row r="258" spans="1:14">
      <c r="A258" s="226" t="s">
        <v>1639</v>
      </c>
      <c r="B258" s="244" t="s">
        <v>1810</v>
      </c>
      <c r="C258" s="226" t="s">
        <v>1811</v>
      </c>
      <c r="D258" s="226" t="s">
        <v>3248</v>
      </c>
      <c r="E258" s="226" t="s">
        <v>3081</v>
      </c>
      <c r="F258" s="226" t="s">
        <v>3425</v>
      </c>
      <c r="G258" s="226" t="s">
        <v>1441</v>
      </c>
      <c r="H258" s="226" t="s">
        <v>1037</v>
      </c>
      <c r="I258" s="213" t="s">
        <v>5396</v>
      </c>
      <c r="J258" s="226" t="s">
        <v>2208</v>
      </c>
      <c r="K258" s="227" t="s">
        <v>4456</v>
      </c>
      <c r="L258" s="213" t="s">
        <v>5071</v>
      </c>
      <c r="M258" s="213" t="s">
        <v>4779</v>
      </c>
      <c r="N258" s="230" t="s">
        <v>4080</v>
      </c>
    </row>
    <row r="259" spans="1:14">
      <c r="A259" s="226" t="s">
        <v>730</v>
      </c>
      <c r="B259" s="244" t="s">
        <v>1812</v>
      </c>
      <c r="C259" s="226" t="s">
        <v>1813</v>
      </c>
      <c r="D259" s="226" t="s">
        <v>3249</v>
      </c>
      <c r="E259" s="226" t="s">
        <v>3082</v>
      </c>
      <c r="F259" s="226" t="s">
        <v>3426</v>
      </c>
      <c r="G259" s="226" t="s">
        <v>1442</v>
      </c>
      <c r="H259" s="226" t="s">
        <v>1038</v>
      </c>
      <c r="I259" s="213" t="s">
        <v>5397</v>
      </c>
      <c r="J259" s="226" t="s">
        <v>2078</v>
      </c>
      <c r="K259" s="227" t="s">
        <v>4457</v>
      </c>
      <c r="L259" s="213" t="s">
        <v>5072</v>
      </c>
      <c r="M259" s="213" t="s">
        <v>4780</v>
      </c>
      <c r="N259" s="230" t="s">
        <v>4081</v>
      </c>
    </row>
    <row r="260" spans="1:14">
      <c r="A260" s="226" t="s">
        <v>865</v>
      </c>
      <c r="B260" s="244" t="s">
        <v>1814</v>
      </c>
      <c r="C260" s="226" t="s">
        <v>1815</v>
      </c>
      <c r="D260" s="226" t="s">
        <v>3250</v>
      </c>
      <c r="E260" s="226" t="s">
        <v>3083</v>
      </c>
      <c r="F260" s="226" t="s">
        <v>3427</v>
      </c>
      <c r="G260" s="226" t="s">
        <v>1443</v>
      </c>
      <c r="H260" s="226" t="s">
        <v>968</v>
      </c>
      <c r="I260" s="213" t="s">
        <v>5398</v>
      </c>
      <c r="J260" s="226" t="s">
        <v>2128</v>
      </c>
      <c r="K260" s="227" t="s">
        <v>4458</v>
      </c>
      <c r="L260" s="213" t="s">
        <v>4781</v>
      </c>
      <c r="M260" s="213" t="s">
        <v>4781</v>
      </c>
      <c r="N260" s="230" t="s">
        <v>4082</v>
      </c>
    </row>
    <row r="261" spans="1:14" ht="15.75">
      <c r="A261" s="226" t="s">
        <v>848</v>
      </c>
      <c r="B261" s="244" t="s">
        <v>1816</v>
      </c>
      <c r="C261" s="226" t="s">
        <v>1817</v>
      </c>
      <c r="D261" s="226" t="s">
        <v>3251</v>
      </c>
      <c r="E261" s="226" t="s">
        <v>3084</v>
      </c>
      <c r="F261" s="226" t="s">
        <v>3428</v>
      </c>
      <c r="G261" s="226" t="s">
        <v>1444</v>
      </c>
      <c r="H261" s="226" t="s">
        <v>1039</v>
      </c>
      <c r="I261" s="213" t="s">
        <v>5399</v>
      </c>
      <c r="J261" s="226" t="s">
        <v>2209</v>
      </c>
      <c r="K261" s="227" t="s">
        <v>4459</v>
      </c>
      <c r="L261" s="213" t="s">
        <v>5073</v>
      </c>
      <c r="M261" s="213" t="s">
        <v>4782</v>
      </c>
      <c r="N261" s="230" t="s">
        <v>4083</v>
      </c>
    </row>
    <row r="262" spans="1:14" ht="15.75">
      <c r="A262" s="226" t="s">
        <v>850</v>
      </c>
      <c r="B262" s="244" t="s">
        <v>1818</v>
      </c>
      <c r="C262" s="226" t="s">
        <v>1819</v>
      </c>
      <c r="D262" s="226" t="s">
        <v>3252</v>
      </c>
      <c r="E262" s="226" t="s">
        <v>3085</v>
      </c>
      <c r="F262" s="226" t="s">
        <v>3429</v>
      </c>
      <c r="G262" s="226" t="s">
        <v>1445</v>
      </c>
      <c r="H262" s="226" t="s">
        <v>1040</v>
      </c>
      <c r="I262" s="213" t="s">
        <v>5400</v>
      </c>
      <c r="J262" s="226" t="s">
        <v>2210</v>
      </c>
      <c r="K262" s="227" t="s">
        <v>4460</v>
      </c>
      <c r="L262" s="213" t="s">
        <v>5074</v>
      </c>
      <c r="M262" s="213" t="s">
        <v>4783</v>
      </c>
      <c r="N262" s="230" t="s">
        <v>4084</v>
      </c>
    </row>
    <row r="263" spans="1:14">
      <c r="A263" s="226" t="s">
        <v>1638</v>
      </c>
      <c r="B263" s="244" t="s">
        <v>1820</v>
      </c>
      <c r="C263" s="226" t="s">
        <v>1821</v>
      </c>
      <c r="D263" s="226" t="s">
        <v>3253</v>
      </c>
      <c r="E263" s="226" t="s">
        <v>3086</v>
      </c>
      <c r="F263" s="226" t="s">
        <v>3430</v>
      </c>
      <c r="G263" s="226" t="s">
        <v>1446</v>
      </c>
      <c r="H263" s="226" t="s">
        <v>1041</v>
      </c>
      <c r="I263" s="213" t="s">
        <v>5401</v>
      </c>
      <c r="J263" s="226" t="s">
        <v>2211</v>
      </c>
      <c r="K263" s="227" t="s">
        <v>4461</v>
      </c>
      <c r="L263" s="213" t="s">
        <v>5075</v>
      </c>
      <c r="M263" s="213" t="s">
        <v>4784</v>
      </c>
      <c r="N263" s="230" t="s">
        <v>4085</v>
      </c>
    </row>
    <row r="264" spans="1:14">
      <c r="A264" s="226" t="s">
        <v>1636</v>
      </c>
      <c r="B264" s="244" t="s">
        <v>1822</v>
      </c>
      <c r="C264" s="226" t="s">
        <v>1823</v>
      </c>
      <c r="D264" s="226" t="s">
        <v>3254</v>
      </c>
      <c r="E264" s="226" t="s">
        <v>3087</v>
      </c>
      <c r="F264" s="226" t="s">
        <v>3431</v>
      </c>
      <c r="G264" s="226" t="s">
        <v>1447</v>
      </c>
      <c r="H264" s="226" t="s">
        <v>1042</v>
      </c>
      <c r="I264" s="213" t="s">
        <v>5402</v>
      </c>
      <c r="J264" s="226" t="s">
        <v>2212</v>
      </c>
      <c r="K264" s="227" t="s">
        <v>4462</v>
      </c>
      <c r="L264" s="213" t="s">
        <v>5076</v>
      </c>
      <c r="M264" s="213" t="s">
        <v>4785</v>
      </c>
      <c r="N264" s="230" t="s">
        <v>4086</v>
      </c>
    </row>
    <row r="265" spans="1:14">
      <c r="A265" s="226" t="s">
        <v>860</v>
      </c>
      <c r="B265" s="244" t="s">
        <v>1824</v>
      </c>
      <c r="C265" s="226" t="s">
        <v>1825</v>
      </c>
      <c r="D265" s="226" t="s">
        <v>860</v>
      </c>
      <c r="E265" s="226" t="s">
        <v>860</v>
      </c>
      <c r="F265" s="226" t="s">
        <v>3432</v>
      </c>
      <c r="G265" s="226" t="s">
        <v>1448</v>
      </c>
      <c r="H265" s="226" t="s">
        <v>1043</v>
      </c>
      <c r="I265" s="213" t="s">
        <v>5403</v>
      </c>
      <c r="J265" s="226" t="s">
        <v>2213</v>
      </c>
      <c r="K265" s="227" t="s">
        <v>4463</v>
      </c>
      <c r="L265" s="213" t="s">
        <v>4463</v>
      </c>
      <c r="M265" s="213" t="s">
        <v>4786</v>
      </c>
      <c r="N265" s="230" t="s">
        <v>4087</v>
      </c>
    </row>
    <row r="266" spans="1:14" ht="27">
      <c r="A266" s="63" t="s">
        <v>844</v>
      </c>
      <c r="B266" s="244" t="s">
        <v>1826</v>
      </c>
      <c r="C266" s="226" t="s">
        <v>1827</v>
      </c>
      <c r="D266" s="63" t="s">
        <v>3255</v>
      </c>
      <c r="E266" s="249" t="s">
        <v>3088</v>
      </c>
      <c r="F266" s="63" t="s">
        <v>3433</v>
      </c>
      <c r="G266" s="249" t="s">
        <v>1449</v>
      </c>
      <c r="H266" s="63" t="s">
        <v>1044</v>
      </c>
      <c r="I266" s="221" t="s">
        <v>5404</v>
      </c>
      <c r="J266" s="226" t="s">
        <v>2214</v>
      </c>
      <c r="K266" s="248" t="s">
        <v>4464</v>
      </c>
      <c r="L266" s="221" t="s">
        <v>5077</v>
      </c>
      <c r="M266" s="221" t="s">
        <v>4787</v>
      </c>
      <c r="N266" s="230" t="s">
        <v>4088</v>
      </c>
    </row>
    <row r="267" spans="1:14">
      <c r="A267" s="226" t="s">
        <v>1634</v>
      </c>
      <c r="B267" s="244" t="s">
        <v>1828</v>
      </c>
      <c r="C267" s="226" t="s">
        <v>1829</v>
      </c>
      <c r="D267" s="226" t="s">
        <v>3256</v>
      </c>
      <c r="E267" s="226" t="s">
        <v>3089</v>
      </c>
      <c r="F267" s="226" t="s">
        <v>3434</v>
      </c>
      <c r="G267" s="226" t="s">
        <v>1450</v>
      </c>
      <c r="H267" s="226" t="s">
        <v>1045</v>
      </c>
      <c r="I267" s="213" t="s">
        <v>5405</v>
      </c>
      <c r="J267" s="226" t="s">
        <v>2215</v>
      </c>
      <c r="K267" s="227" t="s">
        <v>4465</v>
      </c>
      <c r="L267" s="213" t="s">
        <v>5078</v>
      </c>
      <c r="M267" s="213" t="s">
        <v>4788</v>
      </c>
      <c r="N267" s="230" t="s">
        <v>4089</v>
      </c>
    </row>
    <row r="268" spans="1:14">
      <c r="A268" s="226" t="s">
        <v>1633</v>
      </c>
      <c r="B268" s="244" t="s">
        <v>1830</v>
      </c>
      <c r="C268" s="226" t="s">
        <v>1831</v>
      </c>
      <c r="D268" s="226" t="s">
        <v>3257</v>
      </c>
      <c r="E268" s="226" t="s">
        <v>3090</v>
      </c>
      <c r="F268" s="226" t="s">
        <v>3435</v>
      </c>
      <c r="G268" s="226" t="s">
        <v>1451</v>
      </c>
      <c r="H268" s="226" t="s">
        <v>1046</v>
      </c>
      <c r="I268" s="213" t="s">
        <v>5406</v>
      </c>
      <c r="J268" s="226" t="s">
        <v>2216</v>
      </c>
      <c r="K268" s="227" t="s">
        <v>4466</v>
      </c>
      <c r="L268" s="213" t="s">
        <v>5079</v>
      </c>
      <c r="M268" s="213" t="s">
        <v>4789</v>
      </c>
      <c r="N268" s="230" t="s">
        <v>4090</v>
      </c>
    </row>
    <row r="269" spans="1:14">
      <c r="A269" s="226" t="s">
        <v>1632</v>
      </c>
      <c r="B269" s="244" t="s">
        <v>1832</v>
      </c>
      <c r="C269" s="226" t="s">
        <v>1833</v>
      </c>
      <c r="D269" s="226" t="s">
        <v>3258</v>
      </c>
      <c r="E269" s="226" t="s">
        <v>3091</v>
      </c>
      <c r="F269" s="226" t="s">
        <v>3436</v>
      </c>
      <c r="G269" s="226" t="s">
        <v>1452</v>
      </c>
      <c r="H269" s="226" t="s">
        <v>1047</v>
      </c>
      <c r="I269" s="213" t="s">
        <v>5407</v>
      </c>
      <c r="J269" s="226" t="s">
        <v>2217</v>
      </c>
      <c r="K269" s="227" t="s">
        <v>4467</v>
      </c>
      <c r="L269" s="213" t="s">
        <v>5080</v>
      </c>
      <c r="M269" s="213" t="s">
        <v>4790</v>
      </c>
      <c r="N269" s="230" t="s">
        <v>4091</v>
      </c>
    </row>
    <row r="270" spans="1:14">
      <c r="A270" s="226" t="s">
        <v>1631</v>
      </c>
      <c r="B270" s="244" t="s">
        <v>1834</v>
      </c>
      <c r="C270" s="226" t="s">
        <v>1835</v>
      </c>
      <c r="D270" s="226" t="s">
        <v>3259</v>
      </c>
      <c r="E270" s="226" t="s">
        <v>3092</v>
      </c>
      <c r="F270" s="226" t="s">
        <v>3437</v>
      </c>
      <c r="G270" s="226" t="s">
        <v>1453</v>
      </c>
      <c r="H270" s="226" t="s">
        <v>1048</v>
      </c>
      <c r="I270" s="213" t="s">
        <v>5408</v>
      </c>
      <c r="J270" s="226" t="s">
        <v>2218</v>
      </c>
      <c r="K270" s="227" t="s">
        <v>4468</v>
      </c>
      <c r="L270" s="213" t="s">
        <v>5081</v>
      </c>
      <c r="M270" s="213" t="s">
        <v>4791</v>
      </c>
      <c r="N270" s="230" t="s">
        <v>4092</v>
      </c>
    </row>
    <row r="271" spans="1:14">
      <c r="A271" s="226" t="s">
        <v>704</v>
      </c>
      <c r="B271" s="244" t="s">
        <v>1836</v>
      </c>
      <c r="C271" s="226" t="s">
        <v>1837</v>
      </c>
      <c r="D271" s="226" t="s">
        <v>3260</v>
      </c>
      <c r="E271" s="226" t="s">
        <v>3093</v>
      </c>
      <c r="F271" s="226" t="s">
        <v>3438</v>
      </c>
      <c r="G271" s="226" t="s">
        <v>1454</v>
      </c>
      <c r="H271" s="226" t="s">
        <v>1049</v>
      </c>
      <c r="I271" s="213" t="s">
        <v>5409</v>
      </c>
      <c r="J271" s="226" t="s">
        <v>2219</v>
      </c>
      <c r="K271" s="227" t="s">
        <v>4469</v>
      </c>
      <c r="L271" s="213" t="s">
        <v>5082</v>
      </c>
      <c r="M271" s="213" t="s">
        <v>4792</v>
      </c>
      <c r="N271" s="230" t="s">
        <v>4093</v>
      </c>
    </row>
    <row r="272" spans="1:14">
      <c r="A272" s="226" t="s">
        <v>762</v>
      </c>
      <c r="B272" s="244" t="s">
        <v>1838</v>
      </c>
      <c r="C272" s="226" t="s">
        <v>1839</v>
      </c>
      <c r="D272" s="226" t="s">
        <v>3261</v>
      </c>
      <c r="E272" s="226" t="s">
        <v>3094</v>
      </c>
      <c r="F272" s="226" t="s">
        <v>3439</v>
      </c>
      <c r="G272" s="226" t="s">
        <v>1455</v>
      </c>
      <c r="H272" s="226" t="s">
        <v>1050</v>
      </c>
      <c r="I272" s="213" t="s">
        <v>5410</v>
      </c>
      <c r="J272" s="226" t="s">
        <v>2220</v>
      </c>
      <c r="K272" s="227" t="s">
        <v>4470</v>
      </c>
      <c r="L272" s="213" t="s">
        <v>5083</v>
      </c>
      <c r="M272" s="213" t="s">
        <v>4793</v>
      </c>
      <c r="N272" s="230" t="s">
        <v>4094</v>
      </c>
    </row>
    <row r="273" spans="1:14">
      <c r="A273" s="226" t="s">
        <v>765</v>
      </c>
      <c r="B273" s="244" t="s">
        <v>1840</v>
      </c>
      <c r="C273" s="226" t="s">
        <v>1841</v>
      </c>
      <c r="D273" s="226" t="s">
        <v>3262</v>
      </c>
      <c r="E273" s="226" t="s">
        <v>3095</v>
      </c>
      <c r="F273" s="226" t="s">
        <v>3440</v>
      </c>
      <c r="G273" s="226" t="s">
        <v>1456</v>
      </c>
      <c r="H273" s="226" t="s">
        <v>1051</v>
      </c>
      <c r="I273" s="213" t="s">
        <v>5411</v>
      </c>
      <c r="J273" s="226" t="s">
        <v>2221</v>
      </c>
      <c r="K273" s="227" t="s">
        <v>4471</v>
      </c>
      <c r="L273" s="213" t="s">
        <v>5084</v>
      </c>
      <c r="M273" s="213" t="s">
        <v>4794</v>
      </c>
      <c r="N273" s="230" t="s">
        <v>4095</v>
      </c>
    </row>
    <row r="274" spans="1:14" ht="25.5">
      <c r="A274" s="228" t="s">
        <v>857</v>
      </c>
      <c r="B274" s="246" t="s">
        <v>1842</v>
      </c>
      <c r="C274" s="235" t="s">
        <v>1843</v>
      </c>
      <c r="D274" s="228" t="s">
        <v>3263</v>
      </c>
      <c r="E274" s="228" t="s">
        <v>3096</v>
      </c>
      <c r="F274" s="228" t="s">
        <v>3441</v>
      </c>
      <c r="G274" s="250" t="s">
        <v>1457</v>
      </c>
      <c r="H274" s="228" t="s">
        <v>1052</v>
      </c>
      <c r="I274" s="220" t="s">
        <v>5412</v>
      </c>
      <c r="J274" s="226" t="s">
        <v>2222</v>
      </c>
      <c r="K274" s="247" t="s">
        <v>4472</v>
      </c>
      <c r="L274" s="220" t="s">
        <v>5085</v>
      </c>
      <c r="M274" s="220" t="s">
        <v>4795</v>
      </c>
      <c r="N274" s="230" t="s">
        <v>4096</v>
      </c>
    </row>
    <row r="275" spans="1:14">
      <c r="A275" s="226" t="s">
        <v>760</v>
      </c>
      <c r="B275" s="244" t="s">
        <v>1844</v>
      </c>
      <c r="C275" s="226" t="s">
        <v>1845</v>
      </c>
      <c r="D275" s="226" t="s">
        <v>799</v>
      </c>
      <c r="E275" s="226" t="s">
        <v>760</v>
      </c>
      <c r="F275" s="226" t="s">
        <v>3442</v>
      </c>
      <c r="G275" s="226" t="s">
        <v>1458</v>
      </c>
      <c r="H275" s="226" t="s">
        <v>1053</v>
      </c>
      <c r="I275" s="213" t="s">
        <v>5086</v>
      </c>
      <c r="J275" s="226" t="s">
        <v>2223</v>
      </c>
      <c r="K275" s="227" t="s">
        <v>4473</v>
      </c>
      <c r="L275" s="213" t="s">
        <v>5086</v>
      </c>
      <c r="M275" s="213" t="s">
        <v>4796</v>
      </c>
      <c r="N275" s="230" t="s">
        <v>4097</v>
      </c>
    </row>
    <row r="276" spans="1:14">
      <c r="A276" s="226" t="s">
        <v>763</v>
      </c>
      <c r="B276" s="244" t="s">
        <v>1846</v>
      </c>
      <c r="C276" s="226" t="s">
        <v>1847</v>
      </c>
      <c r="D276" s="226" t="s">
        <v>3264</v>
      </c>
      <c r="E276" s="226" t="s">
        <v>3097</v>
      </c>
      <c r="F276" s="226" t="s">
        <v>3443</v>
      </c>
      <c r="G276" s="226" t="s">
        <v>1459</v>
      </c>
      <c r="H276" s="226" t="s">
        <v>1054</v>
      </c>
      <c r="I276" s="213" t="s">
        <v>5413</v>
      </c>
      <c r="J276" s="226" t="s">
        <v>2224</v>
      </c>
      <c r="K276" s="227" t="s">
        <v>4474</v>
      </c>
      <c r="L276" s="213" t="s">
        <v>5087</v>
      </c>
      <c r="M276" s="213" t="s">
        <v>4797</v>
      </c>
      <c r="N276" s="230" t="s">
        <v>4098</v>
      </c>
    </row>
    <row r="277" spans="1:14">
      <c r="A277" s="226" t="s">
        <v>764</v>
      </c>
      <c r="B277" s="244" t="s">
        <v>1848</v>
      </c>
      <c r="C277" s="226" t="s">
        <v>1849</v>
      </c>
      <c r="D277" s="226" t="s">
        <v>3265</v>
      </c>
      <c r="E277" s="226" t="s">
        <v>3095</v>
      </c>
      <c r="F277" s="226" t="s">
        <v>3443</v>
      </c>
      <c r="G277" s="226" t="s">
        <v>1460</v>
      </c>
      <c r="H277" s="226" t="s">
        <v>1055</v>
      </c>
      <c r="I277" s="213" t="s">
        <v>5414</v>
      </c>
      <c r="J277" s="226" t="s">
        <v>2225</v>
      </c>
      <c r="K277" s="227" t="s">
        <v>4475</v>
      </c>
      <c r="L277" s="213" t="s">
        <v>5088</v>
      </c>
      <c r="M277" s="213" t="s">
        <v>4798</v>
      </c>
      <c r="N277" s="230" t="s">
        <v>4099</v>
      </c>
    </row>
    <row r="278" spans="1:14">
      <c r="A278" s="226" t="s">
        <v>733</v>
      </c>
      <c r="B278" s="244" t="s">
        <v>1850</v>
      </c>
      <c r="C278" s="226" t="s">
        <v>1851</v>
      </c>
      <c r="D278" s="226" t="s">
        <v>3266</v>
      </c>
      <c r="E278" s="226" t="s">
        <v>3098</v>
      </c>
      <c r="F278" s="226" t="s">
        <v>3444</v>
      </c>
      <c r="G278" s="226" t="s">
        <v>1461</v>
      </c>
      <c r="H278" s="226" t="s">
        <v>1056</v>
      </c>
      <c r="I278" s="213" t="s">
        <v>5415</v>
      </c>
      <c r="J278" s="226" t="s">
        <v>2226</v>
      </c>
      <c r="K278" s="227" t="s">
        <v>4476</v>
      </c>
      <c r="L278" s="213" t="s">
        <v>5089</v>
      </c>
      <c r="M278" s="213" t="s">
        <v>4799</v>
      </c>
      <c r="N278" s="230" t="s">
        <v>4100</v>
      </c>
    </row>
    <row r="279" spans="1:14">
      <c r="A279" s="226" t="s">
        <v>736</v>
      </c>
      <c r="B279" s="244" t="s">
        <v>1852</v>
      </c>
      <c r="C279" s="226" t="s">
        <v>1853</v>
      </c>
      <c r="D279" s="226" t="s">
        <v>3267</v>
      </c>
      <c r="E279" s="226" t="s">
        <v>3099</v>
      </c>
      <c r="F279" s="226" t="s">
        <v>3445</v>
      </c>
      <c r="G279" s="226" t="s">
        <v>1462</v>
      </c>
      <c r="H279" s="226" t="s">
        <v>1057</v>
      </c>
      <c r="I279" s="213" t="s">
        <v>5416</v>
      </c>
      <c r="J279" s="226" t="s">
        <v>2227</v>
      </c>
      <c r="K279" s="227" t="s">
        <v>4477</v>
      </c>
      <c r="L279" s="213" t="s">
        <v>5090</v>
      </c>
      <c r="M279" s="213" t="s">
        <v>4800</v>
      </c>
      <c r="N279" s="230" t="s">
        <v>4101</v>
      </c>
    </row>
    <row r="280" spans="1:14">
      <c r="A280" s="226" t="s">
        <v>734</v>
      </c>
      <c r="B280" s="244" t="s">
        <v>1854</v>
      </c>
      <c r="C280" s="226" t="s">
        <v>1855</v>
      </c>
      <c r="D280" s="226" t="s">
        <v>3268</v>
      </c>
      <c r="E280" s="226" t="s">
        <v>3100</v>
      </c>
      <c r="F280" s="226" t="s">
        <v>3446</v>
      </c>
      <c r="G280" s="226" t="s">
        <v>1463</v>
      </c>
      <c r="H280" s="226" t="s">
        <v>1058</v>
      </c>
      <c r="I280" s="213" t="s">
        <v>5417</v>
      </c>
      <c r="J280" s="226" t="s">
        <v>2228</v>
      </c>
      <c r="K280" s="227" t="s">
        <v>4478</v>
      </c>
      <c r="L280" s="213" t="s">
        <v>5091</v>
      </c>
      <c r="M280" s="213" t="s">
        <v>4801</v>
      </c>
      <c r="N280" s="230" t="s">
        <v>4102</v>
      </c>
    </row>
    <row r="281" spans="1:14">
      <c r="A281" s="226" t="s">
        <v>735</v>
      </c>
      <c r="B281" s="244" t="s">
        <v>1856</v>
      </c>
      <c r="C281" s="226" t="s">
        <v>1857</v>
      </c>
      <c r="D281" s="226" t="s">
        <v>3269</v>
      </c>
      <c r="E281" s="226" t="s">
        <v>3101</v>
      </c>
      <c r="F281" s="226" t="s">
        <v>3447</v>
      </c>
      <c r="G281" s="226" t="s">
        <v>1464</v>
      </c>
      <c r="H281" s="226" t="s">
        <v>1059</v>
      </c>
      <c r="I281" s="213" t="s">
        <v>5418</v>
      </c>
      <c r="J281" s="226" t="s">
        <v>2229</v>
      </c>
      <c r="K281" s="227" t="s">
        <v>4479</v>
      </c>
      <c r="L281" s="213" t="s">
        <v>5092</v>
      </c>
      <c r="M281" s="213" t="s">
        <v>4802</v>
      </c>
      <c r="N281" s="230" t="s">
        <v>4103</v>
      </c>
    </row>
    <row r="282" spans="1:14">
      <c r="A282" s="226" t="s">
        <v>1630</v>
      </c>
      <c r="B282" s="244" t="s">
        <v>1858</v>
      </c>
      <c r="C282" s="226" t="s">
        <v>1859</v>
      </c>
      <c r="D282" s="226" t="s">
        <v>3270</v>
      </c>
      <c r="E282" s="226" t="s">
        <v>3102</v>
      </c>
      <c r="F282" s="226" t="s">
        <v>3448</v>
      </c>
      <c r="G282" s="226" t="s">
        <v>1465</v>
      </c>
      <c r="H282" s="226" t="s">
        <v>1060</v>
      </c>
      <c r="I282" s="213" t="s">
        <v>5419</v>
      </c>
      <c r="J282" s="226" t="s">
        <v>2230</v>
      </c>
      <c r="K282" s="227" t="s">
        <v>4480</v>
      </c>
      <c r="L282" s="213" t="s">
        <v>5093</v>
      </c>
      <c r="M282" s="213" t="s">
        <v>4803</v>
      </c>
      <c r="N282" s="230" t="s">
        <v>4104</v>
      </c>
    </row>
    <row r="283" spans="1:14">
      <c r="A283" s="226" t="s">
        <v>1629</v>
      </c>
      <c r="B283" s="244" t="s">
        <v>1860</v>
      </c>
      <c r="C283" s="226" t="s">
        <v>1861</v>
      </c>
      <c r="D283" s="226" t="s">
        <v>3271</v>
      </c>
      <c r="E283" s="226" t="s">
        <v>3103</v>
      </c>
      <c r="F283" s="226" t="s">
        <v>3449</v>
      </c>
      <c r="G283" s="226" t="s">
        <v>1466</v>
      </c>
      <c r="H283" s="226" t="s">
        <v>1061</v>
      </c>
      <c r="I283" s="213" t="s">
        <v>5420</v>
      </c>
      <c r="J283" s="226" t="s">
        <v>2231</v>
      </c>
      <c r="K283" s="227" t="s">
        <v>4481</v>
      </c>
      <c r="L283" s="213" t="s">
        <v>5094</v>
      </c>
      <c r="M283" s="213" t="s">
        <v>4804</v>
      </c>
      <c r="N283" s="230" t="s">
        <v>4105</v>
      </c>
    </row>
    <row r="284" spans="1:14">
      <c r="A284" s="226" t="s">
        <v>1628</v>
      </c>
      <c r="B284" s="244" t="s">
        <v>1862</v>
      </c>
      <c r="C284" s="226" t="s">
        <v>1863</v>
      </c>
      <c r="D284" s="226" t="s">
        <v>3272</v>
      </c>
      <c r="E284" s="226" t="s">
        <v>3104</v>
      </c>
      <c r="F284" s="226" t="s">
        <v>3450</v>
      </c>
      <c r="G284" s="226" t="s">
        <v>1467</v>
      </c>
      <c r="H284" s="226" t="s">
        <v>1062</v>
      </c>
      <c r="I284" s="213" t="s">
        <v>5421</v>
      </c>
      <c r="J284" s="226" t="s">
        <v>2232</v>
      </c>
      <c r="K284" s="227" t="s">
        <v>4482</v>
      </c>
      <c r="L284" s="213" t="s">
        <v>5095</v>
      </c>
      <c r="M284" s="213" t="s">
        <v>4805</v>
      </c>
      <c r="N284" s="230" t="s">
        <v>4106</v>
      </c>
    </row>
    <row r="285" spans="1:14">
      <c r="A285" s="226" t="s">
        <v>1627</v>
      </c>
      <c r="B285" s="244" t="s">
        <v>1864</v>
      </c>
      <c r="C285" s="226" t="s">
        <v>1865</v>
      </c>
      <c r="D285" s="226" t="s">
        <v>3273</v>
      </c>
      <c r="E285" s="226" t="s">
        <v>3105</v>
      </c>
      <c r="F285" s="226" t="s">
        <v>3451</v>
      </c>
      <c r="G285" s="226" t="s">
        <v>1468</v>
      </c>
      <c r="H285" s="226" t="s">
        <v>1063</v>
      </c>
      <c r="I285" s="213" t="s">
        <v>5422</v>
      </c>
      <c r="J285" s="226" t="s">
        <v>2233</v>
      </c>
      <c r="K285" s="227" t="s">
        <v>4483</v>
      </c>
      <c r="L285" s="213" t="s">
        <v>5096</v>
      </c>
      <c r="M285" s="213" t="s">
        <v>4806</v>
      </c>
      <c r="N285" s="230" t="s">
        <v>4107</v>
      </c>
    </row>
    <row r="286" spans="1:14">
      <c r="A286" s="226" t="s">
        <v>725</v>
      </c>
      <c r="B286" s="244" t="s">
        <v>1866</v>
      </c>
      <c r="C286" s="226" t="s">
        <v>1867</v>
      </c>
      <c r="D286" s="226" t="s">
        <v>3274</v>
      </c>
      <c r="E286" s="226" t="s">
        <v>3106</v>
      </c>
      <c r="F286" s="226" t="s">
        <v>3452</v>
      </c>
      <c r="G286" s="226" t="s">
        <v>1469</v>
      </c>
      <c r="H286" s="226" t="s">
        <v>1064</v>
      </c>
      <c r="I286" s="213" t="s">
        <v>5423</v>
      </c>
      <c r="J286" s="226" t="s">
        <v>2234</v>
      </c>
      <c r="K286" s="227" t="s">
        <v>4484</v>
      </c>
      <c r="L286" s="213" t="s">
        <v>5097</v>
      </c>
      <c r="M286" s="213" t="s">
        <v>4807</v>
      </c>
      <c r="N286" s="230" t="s">
        <v>4108</v>
      </c>
    </row>
    <row r="287" spans="1:14">
      <c r="A287" s="226" t="s">
        <v>756</v>
      </c>
      <c r="B287" s="244" t="s">
        <v>1868</v>
      </c>
      <c r="C287" s="226" t="s">
        <v>1869</v>
      </c>
      <c r="D287" s="226" t="s">
        <v>3275</v>
      </c>
      <c r="E287" s="226" t="s">
        <v>3107</v>
      </c>
      <c r="F287" s="226" t="s">
        <v>3453</v>
      </c>
      <c r="G287" s="226" t="s">
        <v>1470</v>
      </c>
      <c r="H287" s="226" t="s">
        <v>1065</v>
      </c>
      <c r="I287" s="213" t="s">
        <v>5424</v>
      </c>
      <c r="J287" s="226" t="s">
        <v>2235</v>
      </c>
      <c r="K287" s="227" t="s">
        <v>4485</v>
      </c>
      <c r="L287" s="213" t="s">
        <v>5098</v>
      </c>
      <c r="M287" s="213" t="s">
        <v>4808</v>
      </c>
      <c r="N287" s="230" t="s">
        <v>4109</v>
      </c>
    </row>
    <row r="288" spans="1:14">
      <c r="A288" s="226" t="s">
        <v>866</v>
      </c>
      <c r="B288" s="244" t="s">
        <v>1870</v>
      </c>
      <c r="C288" s="226" t="s">
        <v>1871</v>
      </c>
      <c r="D288" s="226" t="s">
        <v>529</v>
      </c>
      <c r="E288" s="226" t="s">
        <v>649</v>
      </c>
      <c r="F288" s="226" t="s">
        <v>3454</v>
      </c>
      <c r="G288" s="226" t="s">
        <v>1471</v>
      </c>
      <c r="H288" s="226" t="s">
        <v>1066</v>
      </c>
      <c r="I288" s="213" t="s">
        <v>5425</v>
      </c>
      <c r="J288" s="226" t="s">
        <v>2100</v>
      </c>
      <c r="K288" s="227" t="s">
        <v>4486</v>
      </c>
      <c r="L288" s="213" t="s">
        <v>5099</v>
      </c>
      <c r="M288" s="213" t="s">
        <v>4809</v>
      </c>
      <c r="N288" s="230" t="s">
        <v>4110</v>
      </c>
    </row>
    <row r="289" spans="1:14">
      <c r="A289" s="226" t="s">
        <v>717</v>
      </c>
      <c r="B289" s="244" t="s">
        <v>1872</v>
      </c>
      <c r="C289" s="226" t="s">
        <v>1873</v>
      </c>
      <c r="D289" s="226" t="s">
        <v>3276</v>
      </c>
      <c r="E289" s="226" t="s">
        <v>3108</v>
      </c>
      <c r="F289" s="226" t="s">
        <v>3455</v>
      </c>
      <c r="G289" s="226" t="s">
        <v>1472</v>
      </c>
      <c r="H289" s="226" t="s">
        <v>1067</v>
      </c>
      <c r="I289" s="213" t="s">
        <v>5426</v>
      </c>
      <c r="J289" s="226" t="s">
        <v>2236</v>
      </c>
      <c r="K289" s="227" t="s">
        <v>4487</v>
      </c>
      <c r="L289" s="213" t="s">
        <v>5100</v>
      </c>
      <c r="M289" s="213" t="s">
        <v>4810</v>
      </c>
      <c r="N289" s="230" t="s">
        <v>4111</v>
      </c>
    </row>
    <row r="290" spans="1:14">
      <c r="A290" s="226" t="s">
        <v>854</v>
      </c>
      <c r="B290" s="244" t="s">
        <v>1874</v>
      </c>
      <c r="C290" s="226" t="s">
        <v>1875</v>
      </c>
      <c r="D290" s="226" t="s">
        <v>3277</v>
      </c>
      <c r="E290" s="226" t="s">
        <v>3109</v>
      </c>
      <c r="F290" s="226" t="s">
        <v>3456</v>
      </c>
      <c r="G290" s="226" t="s">
        <v>1473</v>
      </c>
      <c r="H290" s="226" t="s">
        <v>1068</v>
      </c>
      <c r="I290" s="213" t="s">
        <v>5427</v>
      </c>
      <c r="J290" s="226" t="s">
        <v>2237</v>
      </c>
      <c r="K290" s="227" t="s">
        <v>4488</v>
      </c>
      <c r="L290" s="213" t="s">
        <v>5101</v>
      </c>
      <c r="M290" s="213" t="s">
        <v>4811</v>
      </c>
      <c r="N290" s="230" t="s">
        <v>4112</v>
      </c>
    </row>
    <row r="291" spans="1:14">
      <c r="A291" s="226" t="s">
        <v>855</v>
      </c>
      <c r="B291" s="244" t="s">
        <v>1876</v>
      </c>
      <c r="C291" s="226" t="s">
        <v>1877</v>
      </c>
      <c r="D291" s="226" t="s">
        <v>3278</v>
      </c>
      <c r="E291" s="226" t="s">
        <v>3110</v>
      </c>
      <c r="F291" s="226" t="s">
        <v>3457</v>
      </c>
      <c r="G291" s="226" t="s">
        <v>1474</v>
      </c>
      <c r="H291" s="226" t="s">
        <v>1069</v>
      </c>
      <c r="I291" s="213" t="s">
        <v>5428</v>
      </c>
      <c r="J291" s="226" t="s">
        <v>2238</v>
      </c>
      <c r="K291" s="227" t="s">
        <v>4489</v>
      </c>
      <c r="L291" s="213" t="s">
        <v>5102</v>
      </c>
      <c r="M291" s="213" t="s">
        <v>4812</v>
      </c>
      <c r="N291" s="230" t="s">
        <v>4113</v>
      </c>
    </row>
    <row r="292" spans="1:14">
      <c r="A292" s="226" t="s">
        <v>3749</v>
      </c>
      <c r="B292" s="244" t="s">
        <v>3750</v>
      </c>
      <c r="C292" s="226" t="s">
        <v>3751</v>
      </c>
      <c r="D292" s="226" t="s">
        <v>3752</v>
      </c>
      <c r="E292" s="226" t="s">
        <v>3753</v>
      </c>
      <c r="F292" s="226" t="s">
        <v>3754</v>
      </c>
      <c r="G292" s="226" t="s">
        <v>3755</v>
      </c>
      <c r="H292" s="226" t="s">
        <v>3756</v>
      </c>
      <c r="I292" s="213" t="s">
        <v>5429</v>
      </c>
      <c r="J292" s="226" t="s">
        <v>3757</v>
      </c>
      <c r="K292" s="227" t="s">
        <v>4490</v>
      </c>
      <c r="L292" s="213" t="s">
        <v>5103</v>
      </c>
      <c r="M292" s="213" t="s">
        <v>4813</v>
      </c>
      <c r="N292" s="230" t="s">
        <v>4114</v>
      </c>
    </row>
    <row r="293" spans="1:14">
      <c r="A293" s="226" t="s">
        <v>1626</v>
      </c>
      <c r="B293" s="244" t="s">
        <v>1878</v>
      </c>
      <c r="C293" s="226" t="s">
        <v>1879</v>
      </c>
      <c r="D293" s="226" t="s">
        <v>3279</v>
      </c>
      <c r="E293" s="226" t="s">
        <v>3111</v>
      </c>
      <c r="F293" s="226" t="s">
        <v>3458</v>
      </c>
      <c r="G293" s="226" t="s">
        <v>1475</v>
      </c>
      <c r="H293" s="226" t="s">
        <v>1070</v>
      </c>
      <c r="I293" s="213" t="s">
        <v>5430</v>
      </c>
      <c r="J293" s="226" t="s">
        <v>2239</v>
      </c>
      <c r="K293" s="227" t="s">
        <v>4491</v>
      </c>
      <c r="L293" s="213" t="s">
        <v>5104</v>
      </c>
      <c r="M293" s="213" t="s">
        <v>4814</v>
      </c>
      <c r="N293" s="230" t="s">
        <v>4115</v>
      </c>
    </row>
    <row r="294" spans="1:14">
      <c r="A294" s="226" t="s">
        <v>853</v>
      </c>
      <c r="B294" s="244" t="s">
        <v>1880</v>
      </c>
      <c r="C294" s="226" t="s">
        <v>1881</v>
      </c>
      <c r="D294" s="226" t="s">
        <v>3280</v>
      </c>
      <c r="E294" s="226" t="s">
        <v>3112</v>
      </c>
      <c r="F294" s="226" t="s">
        <v>3459</v>
      </c>
      <c r="G294" s="226" t="s">
        <v>1476</v>
      </c>
      <c r="H294" s="226" t="s">
        <v>1071</v>
      </c>
      <c r="I294" s="213" t="s">
        <v>5431</v>
      </c>
      <c r="J294" s="226" t="s">
        <v>2240</v>
      </c>
      <c r="K294" s="227" t="s">
        <v>4492</v>
      </c>
      <c r="L294" s="213" t="s">
        <v>5105</v>
      </c>
      <c r="M294" s="213" t="s">
        <v>4815</v>
      </c>
      <c r="N294" s="230" t="s">
        <v>4116</v>
      </c>
    </row>
    <row r="295" spans="1:14" s="226" customFormat="1">
      <c r="A295" s="226" t="s">
        <v>3357</v>
      </c>
      <c r="B295" s="244" t="s">
        <v>3358</v>
      </c>
      <c r="C295" s="226" t="s">
        <v>3359</v>
      </c>
      <c r="D295" s="226" t="s">
        <v>3281</v>
      </c>
      <c r="E295" s="226" t="s">
        <v>3360</v>
      </c>
      <c r="F295" s="226" t="s">
        <v>3530</v>
      </c>
      <c r="G295" s="226" t="s">
        <v>3361</v>
      </c>
      <c r="H295" s="226" t="s">
        <v>3362</v>
      </c>
      <c r="I295" s="213" t="s">
        <v>5432</v>
      </c>
      <c r="J295" s="226" t="s">
        <v>3363</v>
      </c>
      <c r="K295" s="227" t="s">
        <v>4493</v>
      </c>
      <c r="L295" s="213" t="s">
        <v>5106</v>
      </c>
      <c r="M295" s="213" t="s">
        <v>4816</v>
      </c>
      <c r="N295" s="230" t="s">
        <v>4117</v>
      </c>
    </row>
    <row r="296" spans="1:14">
      <c r="A296" s="226" t="s">
        <v>758</v>
      </c>
      <c r="B296" s="244" t="s">
        <v>1882</v>
      </c>
      <c r="C296" s="226" t="s">
        <v>1883</v>
      </c>
      <c r="D296" s="226" t="s">
        <v>3282</v>
      </c>
      <c r="E296" s="226" t="s">
        <v>3113</v>
      </c>
      <c r="F296" s="226" t="s">
        <v>3460</v>
      </c>
      <c r="G296" s="226" t="s">
        <v>1477</v>
      </c>
      <c r="H296" s="226" t="s">
        <v>1072</v>
      </c>
      <c r="I296" s="213" t="s">
        <v>5433</v>
      </c>
      <c r="J296" s="226" t="s">
        <v>2241</v>
      </c>
      <c r="K296" s="227" t="s">
        <v>4494</v>
      </c>
      <c r="L296" s="213" t="s">
        <v>5107</v>
      </c>
      <c r="M296" s="213" t="s">
        <v>4817</v>
      </c>
      <c r="N296" s="230" t="s">
        <v>4118</v>
      </c>
    </row>
    <row r="297" spans="1:14">
      <c r="A297" s="226" t="s">
        <v>703</v>
      </c>
      <c r="B297" s="244" t="s">
        <v>1884</v>
      </c>
      <c r="C297" s="226" t="s">
        <v>1885</v>
      </c>
      <c r="D297" s="226" t="s">
        <v>3283</v>
      </c>
      <c r="E297" s="226" t="s">
        <v>3114</v>
      </c>
      <c r="F297" s="226" t="s">
        <v>3461</v>
      </c>
      <c r="G297" s="226" t="s">
        <v>1478</v>
      </c>
      <c r="H297" s="226" t="s">
        <v>1073</v>
      </c>
      <c r="I297" s="213" t="s">
        <v>5434</v>
      </c>
      <c r="J297" s="226" t="s">
        <v>2242</v>
      </c>
      <c r="K297" s="227" t="s">
        <v>4495</v>
      </c>
      <c r="L297" s="213" t="s">
        <v>5108</v>
      </c>
      <c r="M297" s="213" t="s">
        <v>4818</v>
      </c>
      <c r="N297" s="230" t="s">
        <v>4119</v>
      </c>
    </row>
    <row r="298" spans="1:14">
      <c r="A298" s="226" t="s">
        <v>1625</v>
      </c>
      <c r="B298" s="244" t="s">
        <v>1886</v>
      </c>
      <c r="C298" s="226" t="s">
        <v>1887</v>
      </c>
      <c r="D298" s="226" t="s">
        <v>3267</v>
      </c>
      <c r="E298" s="226" t="s">
        <v>3099</v>
      </c>
      <c r="F298" s="226" t="s">
        <v>3462</v>
      </c>
      <c r="G298" s="226" t="s">
        <v>1479</v>
      </c>
      <c r="H298" s="226" t="s">
        <v>1074</v>
      </c>
      <c r="I298" s="213" t="s">
        <v>5435</v>
      </c>
      <c r="J298" s="226" t="s">
        <v>2243</v>
      </c>
      <c r="K298" s="227" t="s">
        <v>4496</v>
      </c>
      <c r="L298" s="213" t="s">
        <v>5109</v>
      </c>
      <c r="M298" s="213" t="s">
        <v>4819</v>
      </c>
      <c r="N298" s="230" t="s">
        <v>4120</v>
      </c>
    </row>
    <row r="299" spans="1:14">
      <c r="A299" s="226" t="s">
        <v>713</v>
      </c>
      <c r="B299" s="244" t="s">
        <v>1888</v>
      </c>
      <c r="C299" s="226" t="s">
        <v>1889</v>
      </c>
      <c r="D299" s="226" t="s">
        <v>3284</v>
      </c>
      <c r="E299" s="226" t="s">
        <v>3115</v>
      </c>
      <c r="F299" s="226" t="s">
        <v>3463</v>
      </c>
      <c r="G299" s="226" t="s">
        <v>1480</v>
      </c>
      <c r="H299" s="226" t="s">
        <v>1075</v>
      </c>
      <c r="I299" s="213" t="s">
        <v>5436</v>
      </c>
      <c r="J299" s="226" t="s">
        <v>2244</v>
      </c>
      <c r="K299" s="227" t="s">
        <v>4497</v>
      </c>
      <c r="L299" s="213" t="s">
        <v>5110</v>
      </c>
      <c r="M299" s="213" t="s">
        <v>4820</v>
      </c>
      <c r="N299" s="230" t="s">
        <v>4121</v>
      </c>
    </row>
    <row r="300" spans="1:14">
      <c r="A300" s="226" t="s">
        <v>1624</v>
      </c>
      <c r="B300" s="244" t="s">
        <v>1890</v>
      </c>
      <c r="C300" s="226" t="s">
        <v>1891</v>
      </c>
      <c r="D300" s="226" t="s">
        <v>3285</v>
      </c>
      <c r="E300" s="226" t="s">
        <v>3116</v>
      </c>
      <c r="F300" s="226" t="s">
        <v>3464</v>
      </c>
      <c r="G300" s="226" t="s">
        <v>1481</v>
      </c>
      <c r="H300" s="226" t="s">
        <v>1076</v>
      </c>
      <c r="I300" s="213" t="s">
        <v>5437</v>
      </c>
      <c r="J300" s="226" t="s">
        <v>2245</v>
      </c>
      <c r="K300" s="227" t="s">
        <v>4498</v>
      </c>
      <c r="L300" s="213" t="s">
        <v>5111</v>
      </c>
      <c r="M300" s="213" t="s">
        <v>4821</v>
      </c>
      <c r="N300" s="230" t="s">
        <v>4122</v>
      </c>
    </row>
    <row r="301" spans="1:14">
      <c r="A301" s="226" t="s">
        <v>1623</v>
      </c>
      <c r="B301" s="244" t="s">
        <v>1892</v>
      </c>
      <c r="C301" s="226" t="s">
        <v>1893</v>
      </c>
      <c r="D301" s="226" t="s">
        <v>3286</v>
      </c>
      <c r="E301" s="226" t="s">
        <v>3117</v>
      </c>
      <c r="F301" s="226" t="s">
        <v>3465</v>
      </c>
      <c r="G301" s="226" t="s">
        <v>1482</v>
      </c>
      <c r="H301" s="226" t="s">
        <v>1077</v>
      </c>
      <c r="I301" s="213" t="s">
        <v>5438</v>
      </c>
      <c r="J301" s="226" t="s">
        <v>2246</v>
      </c>
      <c r="K301" s="227" t="s">
        <v>4499</v>
      </c>
      <c r="L301" s="213" t="s">
        <v>5112</v>
      </c>
      <c r="M301" s="213" t="s">
        <v>4822</v>
      </c>
      <c r="N301" s="230" t="s">
        <v>4123</v>
      </c>
    </row>
    <row r="302" spans="1:14">
      <c r="A302" s="226" t="s">
        <v>1622</v>
      </c>
      <c r="B302" s="244" t="s">
        <v>1894</v>
      </c>
      <c r="C302" s="226" t="s">
        <v>1895</v>
      </c>
      <c r="D302" s="226" t="s">
        <v>3287</v>
      </c>
      <c r="E302" s="226" t="s">
        <v>3118</v>
      </c>
      <c r="F302" s="226" t="s">
        <v>3466</v>
      </c>
      <c r="G302" s="226" t="s">
        <v>1483</v>
      </c>
      <c r="H302" s="226" t="s">
        <v>1078</v>
      </c>
      <c r="I302" s="213" t="s">
        <v>5439</v>
      </c>
      <c r="J302" s="226" t="s">
        <v>2247</v>
      </c>
      <c r="K302" s="227" t="s">
        <v>4500</v>
      </c>
      <c r="L302" s="213" t="s">
        <v>5113</v>
      </c>
      <c r="M302" s="213" t="s">
        <v>4823</v>
      </c>
      <c r="N302" s="230" t="s">
        <v>4124</v>
      </c>
    </row>
    <row r="303" spans="1:14">
      <c r="A303" s="226" t="s">
        <v>710</v>
      </c>
      <c r="B303" s="244" t="s">
        <v>1896</v>
      </c>
      <c r="C303" s="226" t="s">
        <v>1897</v>
      </c>
      <c r="D303" s="226" t="s">
        <v>3288</v>
      </c>
      <c r="E303" s="226" t="s">
        <v>3119</v>
      </c>
      <c r="F303" s="226" t="s">
        <v>3467</v>
      </c>
      <c r="G303" s="226" t="s">
        <v>1484</v>
      </c>
      <c r="H303" s="226" t="s">
        <v>1079</v>
      </c>
      <c r="I303" s="213" t="s">
        <v>5440</v>
      </c>
      <c r="J303" s="226" t="s">
        <v>2248</v>
      </c>
      <c r="K303" s="227" t="s">
        <v>4501</v>
      </c>
      <c r="L303" s="213" t="s">
        <v>5114</v>
      </c>
      <c r="M303" s="213" t="s">
        <v>4824</v>
      </c>
      <c r="N303" s="230" t="s">
        <v>4125</v>
      </c>
    </row>
    <row r="304" spans="1:14">
      <c r="A304" s="226" t="s">
        <v>709</v>
      </c>
      <c r="B304" s="244" t="s">
        <v>1898</v>
      </c>
      <c r="C304" s="226" t="s">
        <v>1899</v>
      </c>
      <c r="D304" s="226" t="s">
        <v>3289</v>
      </c>
      <c r="E304" s="226" t="s">
        <v>3120</v>
      </c>
      <c r="F304" s="226" t="s">
        <v>3468</v>
      </c>
      <c r="G304" s="226" t="s">
        <v>1485</v>
      </c>
      <c r="H304" s="226" t="s">
        <v>1080</v>
      </c>
      <c r="I304" s="213" t="s">
        <v>5441</v>
      </c>
      <c r="J304" s="226" t="s">
        <v>2249</v>
      </c>
      <c r="K304" s="227" t="s">
        <v>4502</v>
      </c>
      <c r="L304" s="213" t="s">
        <v>5115</v>
      </c>
      <c r="M304" s="213" t="s">
        <v>4825</v>
      </c>
      <c r="N304" s="230" t="s">
        <v>4126</v>
      </c>
    </row>
    <row r="305" spans="1:14">
      <c r="A305" s="226" t="s">
        <v>749</v>
      </c>
      <c r="B305" s="244" t="s">
        <v>1900</v>
      </c>
      <c r="C305" s="226" t="s">
        <v>1901</v>
      </c>
      <c r="D305" s="226" t="s">
        <v>3290</v>
      </c>
      <c r="E305" s="226" t="s">
        <v>3121</v>
      </c>
      <c r="F305" s="226" t="s">
        <v>3469</v>
      </c>
      <c r="G305" s="226" t="s">
        <v>1486</v>
      </c>
      <c r="H305" s="226" t="s">
        <v>1081</v>
      </c>
      <c r="I305" s="213" t="s">
        <v>5442</v>
      </c>
      <c r="J305" s="226" t="s">
        <v>2250</v>
      </c>
      <c r="K305" s="227" t="s">
        <v>4503</v>
      </c>
      <c r="L305" s="213" t="s">
        <v>5116</v>
      </c>
      <c r="M305" s="213" t="s">
        <v>4826</v>
      </c>
      <c r="N305" s="230" t="s">
        <v>4127</v>
      </c>
    </row>
    <row r="306" spans="1:14">
      <c r="A306" s="226" t="s">
        <v>724</v>
      </c>
      <c r="B306" s="244" t="s">
        <v>1902</v>
      </c>
      <c r="C306" s="226" t="s">
        <v>1903</v>
      </c>
      <c r="D306" s="226" t="s">
        <v>3291</v>
      </c>
      <c r="E306" s="226" t="s">
        <v>3122</v>
      </c>
      <c r="F306" s="226" t="s">
        <v>3444</v>
      </c>
      <c r="G306" s="226" t="s">
        <v>1487</v>
      </c>
      <c r="H306" s="226" t="s">
        <v>1082</v>
      </c>
      <c r="I306" s="213" t="s">
        <v>5443</v>
      </c>
      <c r="J306" s="226" t="s">
        <v>2251</v>
      </c>
      <c r="K306" s="227" t="s">
        <v>4504</v>
      </c>
      <c r="L306" s="213" t="s">
        <v>5117</v>
      </c>
      <c r="M306" s="213" t="s">
        <v>4827</v>
      </c>
      <c r="N306" s="230" t="s">
        <v>4128</v>
      </c>
    </row>
    <row r="307" spans="1:14">
      <c r="A307" s="226" t="s">
        <v>721</v>
      </c>
      <c r="B307" s="244" t="s">
        <v>1904</v>
      </c>
      <c r="C307" s="226" t="s">
        <v>1905</v>
      </c>
      <c r="D307" s="226" t="s">
        <v>3292</v>
      </c>
      <c r="E307" s="226" t="s">
        <v>3123</v>
      </c>
      <c r="F307" s="226" t="s">
        <v>3470</v>
      </c>
      <c r="G307" s="226" t="s">
        <v>1488</v>
      </c>
      <c r="H307" s="226" t="s">
        <v>1083</v>
      </c>
      <c r="I307" s="213" t="s">
        <v>5444</v>
      </c>
      <c r="J307" s="226" t="s">
        <v>2252</v>
      </c>
      <c r="K307" s="227" t="s">
        <v>4505</v>
      </c>
      <c r="L307" s="213" t="s">
        <v>5118</v>
      </c>
      <c r="M307" s="213" t="s">
        <v>4828</v>
      </c>
      <c r="N307" s="230" t="s">
        <v>4129</v>
      </c>
    </row>
    <row r="308" spans="1:14">
      <c r="A308" s="226" t="s">
        <v>732</v>
      </c>
      <c r="B308" s="244" t="s">
        <v>1906</v>
      </c>
      <c r="C308" s="226" t="s">
        <v>1907</v>
      </c>
      <c r="D308" s="226" t="s">
        <v>3293</v>
      </c>
      <c r="E308" s="226" t="s">
        <v>3124</v>
      </c>
      <c r="F308" s="226" t="s">
        <v>3471</v>
      </c>
      <c r="G308" s="226" t="s">
        <v>1489</v>
      </c>
      <c r="H308" s="226" t="s">
        <v>1084</v>
      </c>
      <c r="I308" s="213" t="s">
        <v>5445</v>
      </c>
      <c r="J308" s="226" t="s">
        <v>2253</v>
      </c>
      <c r="K308" s="227" t="s">
        <v>4506</v>
      </c>
      <c r="L308" s="213" t="s">
        <v>5119</v>
      </c>
      <c r="M308" s="213" t="s">
        <v>4829</v>
      </c>
      <c r="N308" s="230" t="s">
        <v>4130</v>
      </c>
    </row>
    <row r="309" spans="1:14">
      <c r="A309" s="226" t="s">
        <v>789</v>
      </c>
      <c r="B309" s="244" t="s">
        <v>1908</v>
      </c>
      <c r="C309" s="226" t="s">
        <v>1909</v>
      </c>
      <c r="D309" s="226" t="s">
        <v>3294</v>
      </c>
      <c r="E309" s="226" t="s">
        <v>3125</v>
      </c>
      <c r="F309" s="226" t="s">
        <v>3472</v>
      </c>
      <c r="G309" s="226" t="s">
        <v>1490</v>
      </c>
      <c r="H309" s="226" t="s">
        <v>1137</v>
      </c>
      <c r="I309" s="213" t="s">
        <v>5446</v>
      </c>
      <c r="J309" s="226" t="s">
        <v>2254</v>
      </c>
      <c r="K309" s="227" t="s">
        <v>4507</v>
      </c>
      <c r="L309" s="213" t="s">
        <v>5120</v>
      </c>
      <c r="M309" s="213" t="s">
        <v>4830</v>
      </c>
      <c r="N309" s="230" t="s">
        <v>4131</v>
      </c>
    </row>
    <row r="310" spans="1:14">
      <c r="A310" s="226" t="s">
        <v>723</v>
      </c>
      <c r="B310" s="244" t="s">
        <v>1910</v>
      </c>
      <c r="C310" s="226" t="s">
        <v>1911</v>
      </c>
      <c r="D310" s="226" t="s">
        <v>3295</v>
      </c>
      <c r="E310" s="226" t="s">
        <v>3126</v>
      </c>
      <c r="F310" s="226" t="s">
        <v>3473</v>
      </c>
      <c r="G310" s="226" t="s">
        <v>1491</v>
      </c>
      <c r="H310" s="226" t="s">
        <v>1085</v>
      </c>
      <c r="I310" s="213" t="s">
        <v>5447</v>
      </c>
      <c r="J310" s="226" t="s">
        <v>2255</v>
      </c>
      <c r="K310" s="227" t="s">
        <v>4508</v>
      </c>
      <c r="L310" s="213" t="s">
        <v>5121</v>
      </c>
      <c r="M310" s="213" t="s">
        <v>4831</v>
      </c>
      <c r="N310" s="230" t="s">
        <v>4132</v>
      </c>
    </row>
    <row r="311" spans="1:14">
      <c r="A311" s="226" t="s">
        <v>1621</v>
      </c>
      <c r="B311" s="244" t="s">
        <v>1912</v>
      </c>
      <c r="C311" s="226" t="s">
        <v>1913</v>
      </c>
      <c r="D311" s="226" t="s">
        <v>3296</v>
      </c>
      <c r="E311" s="226" t="s">
        <v>3127</v>
      </c>
      <c r="F311" s="226" t="s">
        <v>3474</v>
      </c>
      <c r="G311" s="226" t="s">
        <v>1492</v>
      </c>
      <c r="H311" s="226" t="s">
        <v>1086</v>
      </c>
      <c r="I311" s="213" t="s">
        <v>5448</v>
      </c>
      <c r="J311" s="226" t="s">
        <v>2256</v>
      </c>
      <c r="K311" s="227" t="s">
        <v>4509</v>
      </c>
      <c r="L311" s="213" t="s">
        <v>5122</v>
      </c>
      <c r="M311" s="213" t="s">
        <v>4832</v>
      </c>
      <c r="N311" s="230" t="s">
        <v>4133</v>
      </c>
    </row>
    <row r="312" spans="1:14">
      <c r="A312" s="226" t="s">
        <v>728</v>
      </c>
      <c r="B312" s="244" t="s">
        <v>1914</v>
      </c>
      <c r="C312" s="226" t="s">
        <v>1915</v>
      </c>
      <c r="D312" s="226" t="s">
        <v>3297</v>
      </c>
      <c r="E312" s="226" t="s">
        <v>3128</v>
      </c>
      <c r="F312" s="226" t="s">
        <v>3475</v>
      </c>
      <c r="G312" s="226" t="s">
        <v>1493</v>
      </c>
      <c r="H312" s="226" t="s">
        <v>1087</v>
      </c>
      <c r="I312" s="213" t="s">
        <v>5449</v>
      </c>
      <c r="J312" s="226" t="s">
        <v>2257</v>
      </c>
      <c r="K312" s="227" t="s">
        <v>4510</v>
      </c>
      <c r="L312" s="213" t="s">
        <v>5123</v>
      </c>
      <c r="M312" s="213" t="s">
        <v>4833</v>
      </c>
      <c r="N312" s="230" t="s">
        <v>4134</v>
      </c>
    </row>
    <row r="313" spans="1:14">
      <c r="A313" s="226" t="s">
        <v>726</v>
      </c>
      <c r="B313" s="244" t="s">
        <v>1916</v>
      </c>
      <c r="C313" s="226" t="s">
        <v>1917</v>
      </c>
      <c r="D313" s="226" t="s">
        <v>3298</v>
      </c>
      <c r="E313" s="226" t="s">
        <v>3129</v>
      </c>
      <c r="F313" s="226" t="s">
        <v>3476</v>
      </c>
      <c r="G313" s="226" t="s">
        <v>1494</v>
      </c>
      <c r="H313" s="226" t="s">
        <v>1088</v>
      </c>
      <c r="I313" s="213" t="s">
        <v>5450</v>
      </c>
      <c r="J313" s="226" t="s">
        <v>2258</v>
      </c>
      <c r="K313" s="227" t="s">
        <v>4511</v>
      </c>
      <c r="L313" s="213" t="s">
        <v>5124</v>
      </c>
      <c r="M313" s="213" t="s">
        <v>4834</v>
      </c>
      <c r="N313" s="230" t="s">
        <v>4135</v>
      </c>
    </row>
    <row r="314" spans="1:14">
      <c r="A314" s="226" t="s">
        <v>727</v>
      </c>
      <c r="B314" s="244" t="s">
        <v>1918</v>
      </c>
      <c r="C314" s="226" t="s">
        <v>1919</v>
      </c>
      <c r="D314" s="226" t="s">
        <v>3299</v>
      </c>
      <c r="E314" s="226" t="s">
        <v>3130</v>
      </c>
      <c r="F314" s="226" t="s">
        <v>3477</v>
      </c>
      <c r="G314" s="226" t="s">
        <v>1495</v>
      </c>
      <c r="H314" s="226" t="s">
        <v>1089</v>
      </c>
      <c r="I314" s="213" t="s">
        <v>5451</v>
      </c>
      <c r="J314" s="226" t="s">
        <v>2259</v>
      </c>
      <c r="K314" s="227" t="s">
        <v>4512</v>
      </c>
      <c r="L314" s="213" t="s">
        <v>5125</v>
      </c>
      <c r="M314" s="213" t="s">
        <v>4835</v>
      </c>
      <c r="N314" s="230" t="s">
        <v>4136</v>
      </c>
    </row>
    <row r="315" spans="1:14">
      <c r="A315" s="226" t="s">
        <v>1620</v>
      </c>
      <c r="B315" s="244" t="s">
        <v>1920</v>
      </c>
      <c r="C315" s="226" t="s">
        <v>1921</v>
      </c>
      <c r="D315" s="226" t="s">
        <v>3300</v>
      </c>
      <c r="E315" s="226" t="s">
        <v>3131</v>
      </c>
      <c r="F315" s="226" t="s">
        <v>3478</v>
      </c>
      <c r="G315" s="226" t="s">
        <v>1496</v>
      </c>
      <c r="H315" s="226" t="s">
        <v>1090</v>
      </c>
      <c r="I315" s="213" t="s">
        <v>5452</v>
      </c>
      <c r="J315" s="226" t="s">
        <v>2260</v>
      </c>
      <c r="K315" s="227" t="s">
        <v>4513</v>
      </c>
      <c r="L315" s="213" t="s">
        <v>5126</v>
      </c>
      <c r="M315" s="213" t="s">
        <v>4836</v>
      </c>
      <c r="N315" s="230" t="s">
        <v>4137</v>
      </c>
    </row>
    <row r="316" spans="1:14">
      <c r="A316" s="226" t="s">
        <v>747</v>
      </c>
      <c r="B316" s="244" t="s">
        <v>1922</v>
      </c>
      <c r="C316" s="226" t="s">
        <v>1923</v>
      </c>
      <c r="D316" s="226" t="s">
        <v>3301</v>
      </c>
      <c r="E316" s="226" t="s">
        <v>3132</v>
      </c>
      <c r="F316" s="226" t="s">
        <v>3479</v>
      </c>
      <c r="G316" s="226" t="s">
        <v>1497</v>
      </c>
      <c r="H316" s="226" t="s">
        <v>1091</v>
      </c>
      <c r="I316" s="213" t="s">
        <v>5453</v>
      </c>
      <c r="J316" s="226" t="s">
        <v>2261</v>
      </c>
      <c r="K316" s="227" t="s">
        <v>4514</v>
      </c>
      <c r="L316" s="213" t="s">
        <v>5127</v>
      </c>
      <c r="M316" s="213" t="s">
        <v>4837</v>
      </c>
      <c r="N316" s="230" t="s">
        <v>4138</v>
      </c>
    </row>
    <row r="317" spans="1:14">
      <c r="A317" s="226" t="s">
        <v>745</v>
      </c>
      <c r="B317" s="244" t="s">
        <v>1924</v>
      </c>
      <c r="C317" s="226" t="s">
        <v>1925</v>
      </c>
      <c r="D317" s="226" t="s">
        <v>3302</v>
      </c>
      <c r="E317" s="226" t="s">
        <v>3133</v>
      </c>
      <c r="F317" s="226" t="s">
        <v>3480</v>
      </c>
      <c r="G317" s="226" t="s">
        <v>1498</v>
      </c>
      <c r="H317" s="226" t="s">
        <v>1092</v>
      </c>
      <c r="I317" s="213" t="s">
        <v>5454</v>
      </c>
      <c r="J317" s="226" t="s">
        <v>2262</v>
      </c>
      <c r="K317" s="227" t="s">
        <v>4515</v>
      </c>
      <c r="L317" s="213" t="s">
        <v>5128</v>
      </c>
      <c r="M317" s="213" t="s">
        <v>4838</v>
      </c>
      <c r="N317" s="230" t="s">
        <v>4139</v>
      </c>
    </row>
    <row r="318" spans="1:14">
      <c r="A318" s="226" t="s">
        <v>746</v>
      </c>
      <c r="B318" s="244" t="s">
        <v>1926</v>
      </c>
      <c r="C318" s="226" t="s">
        <v>1927</v>
      </c>
      <c r="D318" s="226" t="s">
        <v>3303</v>
      </c>
      <c r="E318" s="226" t="s">
        <v>3134</v>
      </c>
      <c r="F318" s="226" t="s">
        <v>3481</v>
      </c>
      <c r="G318" s="226" t="s">
        <v>1499</v>
      </c>
      <c r="H318" s="226" t="s">
        <v>1093</v>
      </c>
      <c r="I318" s="213" t="s">
        <v>5455</v>
      </c>
      <c r="J318" s="226" t="s">
        <v>2263</v>
      </c>
      <c r="K318" s="227" t="s">
        <v>4516</v>
      </c>
      <c r="L318" s="213" t="s">
        <v>5129</v>
      </c>
      <c r="M318" s="213" t="s">
        <v>4839</v>
      </c>
      <c r="N318" s="230" t="s">
        <v>4140</v>
      </c>
    </row>
    <row r="319" spans="1:14">
      <c r="A319" s="226" t="s">
        <v>750</v>
      </c>
      <c r="B319" s="244" t="s">
        <v>1928</v>
      </c>
      <c r="C319" s="226" t="s">
        <v>1929</v>
      </c>
      <c r="D319" s="226" t="s">
        <v>3304</v>
      </c>
      <c r="E319" s="226" t="s">
        <v>3135</v>
      </c>
      <c r="F319" s="226" t="s">
        <v>3482</v>
      </c>
      <c r="G319" s="226" t="s">
        <v>1500</v>
      </c>
      <c r="H319" s="226" t="s">
        <v>1094</v>
      </c>
      <c r="I319" s="213" t="s">
        <v>5456</v>
      </c>
      <c r="J319" s="226" t="s">
        <v>2264</v>
      </c>
      <c r="K319" s="227" t="s">
        <v>4517</v>
      </c>
      <c r="L319" s="213" t="s">
        <v>5130</v>
      </c>
      <c r="M319" s="213" t="s">
        <v>4840</v>
      </c>
      <c r="N319" s="230" t="s">
        <v>4141</v>
      </c>
    </row>
    <row r="320" spans="1:14">
      <c r="A320" s="226" t="s">
        <v>751</v>
      </c>
      <c r="B320" s="244" t="s">
        <v>1930</v>
      </c>
      <c r="C320" s="226" t="s">
        <v>1931</v>
      </c>
      <c r="D320" s="226" t="s">
        <v>3305</v>
      </c>
      <c r="E320" s="226" t="s">
        <v>3136</v>
      </c>
      <c r="F320" s="226" t="s">
        <v>3483</v>
      </c>
      <c r="G320" s="226" t="s">
        <v>1501</v>
      </c>
      <c r="H320" s="226" t="s">
        <v>1095</v>
      </c>
      <c r="I320" s="213" t="s">
        <v>5457</v>
      </c>
      <c r="J320" s="226" t="s">
        <v>2265</v>
      </c>
      <c r="K320" s="227" t="s">
        <v>4518</v>
      </c>
      <c r="L320" s="213" t="s">
        <v>5131</v>
      </c>
      <c r="M320" s="213" t="s">
        <v>4841</v>
      </c>
      <c r="N320" s="230" t="s">
        <v>4142</v>
      </c>
    </row>
    <row r="321" spans="1:14">
      <c r="A321" s="226" t="s">
        <v>755</v>
      </c>
      <c r="B321" s="244" t="s">
        <v>1932</v>
      </c>
      <c r="C321" s="226" t="s">
        <v>1933</v>
      </c>
      <c r="D321" s="226" t="s">
        <v>3306</v>
      </c>
      <c r="E321" s="226" t="s">
        <v>3137</v>
      </c>
      <c r="F321" s="226" t="s">
        <v>3484</v>
      </c>
      <c r="G321" s="226" t="s">
        <v>1502</v>
      </c>
      <c r="H321" s="226" t="s">
        <v>1096</v>
      </c>
      <c r="I321" s="213" t="s">
        <v>5458</v>
      </c>
      <c r="J321" s="226" t="s">
        <v>2266</v>
      </c>
      <c r="K321" s="227" t="s">
        <v>4519</v>
      </c>
      <c r="L321" s="213" t="s">
        <v>5132</v>
      </c>
      <c r="M321" s="213" t="s">
        <v>4842</v>
      </c>
      <c r="N321" s="230" t="s">
        <v>4143</v>
      </c>
    </row>
    <row r="322" spans="1:14">
      <c r="A322" s="226" t="s">
        <v>743</v>
      </c>
      <c r="B322" s="244" t="s">
        <v>1934</v>
      </c>
      <c r="C322" s="226" t="s">
        <v>1935</v>
      </c>
      <c r="D322" s="226" t="s">
        <v>3307</v>
      </c>
      <c r="E322" s="226" t="s">
        <v>3138</v>
      </c>
      <c r="F322" s="226" t="s">
        <v>3485</v>
      </c>
      <c r="G322" s="226" t="s">
        <v>1503</v>
      </c>
      <c r="H322" s="226" t="s">
        <v>1097</v>
      </c>
      <c r="I322" s="213" t="s">
        <v>5459</v>
      </c>
      <c r="J322" s="226" t="s">
        <v>2267</v>
      </c>
      <c r="K322" s="227" t="s">
        <v>4520</v>
      </c>
      <c r="L322" s="213" t="s">
        <v>5133</v>
      </c>
      <c r="M322" s="213" t="s">
        <v>4843</v>
      </c>
      <c r="N322" s="230" t="s">
        <v>4144</v>
      </c>
    </row>
    <row r="323" spans="1:14">
      <c r="A323" s="226" t="s">
        <v>744</v>
      </c>
      <c r="B323" s="244" t="s">
        <v>1936</v>
      </c>
      <c r="C323" s="226" t="s">
        <v>1937</v>
      </c>
      <c r="D323" s="226" t="s">
        <v>3308</v>
      </c>
      <c r="E323" s="226" t="s">
        <v>3139</v>
      </c>
      <c r="F323" s="226" t="s">
        <v>3486</v>
      </c>
      <c r="G323" s="226" t="s">
        <v>1504</v>
      </c>
      <c r="H323" s="226" t="s">
        <v>1098</v>
      </c>
      <c r="I323" s="213" t="s">
        <v>5460</v>
      </c>
      <c r="J323" s="226" t="s">
        <v>2268</v>
      </c>
      <c r="K323" s="227" t="s">
        <v>4521</v>
      </c>
      <c r="L323" s="213" t="s">
        <v>5134</v>
      </c>
      <c r="M323" s="213" t="s">
        <v>4844</v>
      </c>
      <c r="N323" s="230" t="s">
        <v>4145</v>
      </c>
    </row>
    <row r="324" spans="1:14">
      <c r="A324" s="226" t="s">
        <v>1619</v>
      </c>
      <c r="B324" s="244" t="s">
        <v>1938</v>
      </c>
      <c r="C324" s="226" t="s">
        <v>1939</v>
      </c>
      <c r="D324" s="226" t="s">
        <v>3309</v>
      </c>
      <c r="E324" s="226" t="s">
        <v>3140</v>
      </c>
      <c r="F324" s="226" t="s">
        <v>3487</v>
      </c>
      <c r="G324" s="226" t="s">
        <v>1505</v>
      </c>
      <c r="H324" s="226" t="s">
        <v>1099</v>
      </c>
      <c r="I324" s="213" t="s">
        <v>5461</v>
      </c>
      <c r="J324" s="226" t="s">
        <v>2269</v>
      </c>
      <c r="K324" s="227" t="s">
        <v>4522</v>
      </c>
      <c r="L324" s="213" t="s">
        <v>5135</v>
      </c>
      <c r="M324" s="213" t="s">
        <v>4845</v>
      </c>
      <c r="N324" s="230" t="s">
        <v>4146</v>
      </c>
    </row>
    <row r="325" spans="1:14">
      <c r="A325" s="226" t="s">
        <v>1618</v>
      </c>
      <c r="B325" s="244" t="s">
        <v>1940</v>
      </c>
      <c r="C325" s="226" t="s">
        <v>1941</v>
      </c>
      <c r="D325" s="226" t="s">
        <v>3310</v>
      </c>
      <c r="E325" s="226" t="s">
        <v>3141</v>
      </c>
      <c r="F325" s="226" t="s">
        <v>3488</v>
      </c>
      <c r="G325" s="226" t="s">
        <v>1506</v>
      </c>
      <c r="H325" s="226" t="s">
        <v>1100</v>
      </c>
      <c r="I325" s="213" t="s">
        <v>5462</v>
      </c>
      <c r="J325" s="226" t="s">
        <v>2270</v>
      </c>
      <c r="K325" s="227" t="s">
        <v>4523</v>
      </c>
      <c r="L325" s="213" t="s">
        <v>5136</v>
      </c>
      <c r="M325" s="213" t="s">
        <v>4846</v>
      </c>
      <c r="N325" s="230" t="s">
        <v>4147</v>
      </c>
    </row>
    <row r="326" spans="1:14">
      <c r="A326" s="226" t="s">
        <v>754</v>
      </c>
      <c r="B326" s="244" t="s">
        <v>1942</v>
      </c>
      <c r="C326" s="226" t="s">
        <v>1943</v>
      </c>
      <c r="D326" s="226" t="s">
        <v>3311</v>
      </c>
      <c r="E326" s="226" t="s">
        <v>3142</v>
      </c>
      <c r="F326" s="226" t="s">
        <v>3489</v>
      </c>
      <c r="G326" s="226" t="s">
        <v>1507</v>
      </c>
      <c r="H326" s="226" t="s">
        <v>1101</v>
      </c>
      <c r="I326" s="213" t="s">
        <v>5463</v>
      </c>
      <c r="J326" s="226" t="s">
        <v>2271</v>
      </c>
      <c r="K326" s="227" t="s">
        <v>4524</v>
      </c>
      <c r="L326" s="213" t="s">
        <v>5137</v>
      </c>
      <c r="M326" s="213" t="s">
        <v>4847</v>
      </c>
      <c r="N326" s="230" t="s">
        <v>4148</v>
      </c>
    </row>
    <row r="327" spans="1:14">
      <c r="A327" s="226" t="s">
        <v>863</v>
      </c>
      <c r="B327" s="244" t="s">
        <v>1944</v>
      </c>
      <c r="C327" s="226" t="s">
        <v>1945</v>
      </c>
      <c r="D327" s="226" t="s">
        <v>3312</v>
      </c>
      <c r="E327" s="226" t="s">
        <v>3143</v>
      </c>
      <c r="F327" s="226" t="s">
        <v>3490</v>
      </c>
      <c r="G327" s="226" t="s">
        <v>1508</v>
      </c>
      <c r="H327" s="226" t="s">
        <v>1102</v>
      </c>
      <c r="I327" s="213" t="s">
        <v>5464</v>
      </c>
      <c r="J327" s="226" t="s">
        <v>2272</v>
      </c>
      <c r="K327" s="227" t="s">
        <v>4525</v>
      </c>
      <c r="L327" s="213" t="s">
        <v>5138</v>
      </c>
      <c r="M327" s="213" t="s">
        <v>4848</v>
      </c>
      <c r="N327" s="230" t="s">
        <v>4149</v>
      </c>
    </row>
    <row r="328" spans="1:14">
      <c r="A328" s="226" t="s">
        <v>861</v>
      </c>
      <c r="B328" s="244" t="s">
        <v>1946</v>
      </c>
      <c r="C328" s="226" t="s">
        <v>1947</v>
      </c>
      <c r="D328" s="226" t="s">
        <v>3313</v>
      </c>
      <c r="E328" s="226" t="s">
        <v>3144</v>
      </c>
      <c r="F328" s="226" t="s">
        <v>3491</v>
      </c>
      <c r="G328" s="226" t="s">
        <v>1509</v>
      </c>
      <c r="H328" s="226" t="s">
        <v>1103</v>
      </c>
      <c r="I328" s="213" t="s">
        <v>5465</v>
      </c>
      <c r="J328" s="226" t="s">
        <v>2273</v>
      </c>
      <c r="K328" s="227" t="s">
        <v>4526</v>
      </c>
      <c r="L328" s="213" t="s">
        <v>5139</v>
      </c>
      <c r="M328" s="213" t="s">
        <v>4849</v>
      </c>
      <c r="N328" s="230" t="s">
        <v>4150</v>
      </c>
    </row>
    <row r="329" spans="1:14">
      <c r="A329" s="226" t="s">
        <v>862</v>
      </c>
      <c r="B329" s="244" t="s">
        <v>1948</v>
      </c>
      <c r="C329" s="226" t="s">
        <v>1949</v>
      </c>
      <c r="D329" s="226" t="s">
        <v>3314</v>
      </c>
      <c r="E329" s="226" t="s">
        <v>3145</v>
      </c>
      <c r="F329" s="226" t="s">
        <v>3492</v>
      </c>
      <c r="G329" s="226" t="s">
        <v>1510</v>
      </c>
      <c r="H329" s="226" t="s">
        <v>1104</v>
      </c>
      <c r="I329" s="213" t="s">
        <v>5466</v>
      </c>
      <c r="J329" s="226" t="s">
        <v>2274</v>
      </c>
      <c r="K329" s="227" t="s">
        <v>4527</v>
      </c>
      <c r="L329" s="213" t="s">
        <v>5140</v>
      </c>
      <c r="M329" s="213" t="s">
        <v>4850</v>
      </c>
      <c r="N329" s="230" t="s">
        <v>4151</v>
      </c>
    </row>
    <row r="330" spans="1:14">
      <c r="A330" s="226" t="s">
        <v>737</v>
      </c>
      <c r="B330" s="244" t="s">
        <v>1950</v>
      </c>
      <c r="C330" s="226" t="s">
        <v>1951</v>
      </c>
      <c r="D330" s="226" t="s">
        <v>3315</v>
      </c>
      <c r="E330" s="226" t="s">
        <v>3146</v>
      </c>
      <c r="F330" s="226" t="s">
        <v>3493</v>
      </c>
      <c r="G330" s="226" t="s">
        <v>1511</v>
      </c>
      <c r="H330" s="226" t="s">
        <v>1105</v>
      </c>
      <c r="I330" s="213" t="s">
        <v>5467</v>
      </c>
      <c r="J330" s="226" t="s">
        <v>2275</v>
      </c>
      <c r="K330" s="227" t="s">
        <v>4528</v>
      </c>
      <c r="L330" s="213" t="s">
        <v>5141</v>
      </c>
      <c r="M330" s="213" t="s">
        <v>4851</v>
      </c>
      <c r="N330" s="230" t="s">
        <v>4152</v>
      </c>
    </row>
    <row r="331" spans="1:14">
      <c r="A331" s="226" t="s">
        <v>738</v>
      </c>
      <c r="B331" s="244" t="s">
        <v>1952</v>
      </c>
      <c r="C331" s="226" t="s">
        <v>1953</v>
      </c>
      <c r="D331" s="226" t="s">
        <v>3316</v>
      </c>
      <c r="E331" s="226" t="s">
        <v>3147</v>
      </c>
      <c r="F331" s="226" t="s">
        <v>3494</v>
      </c>
      <c r="G331" s="226" t="s">
        <v>1512</v>
      </c>
      <c r="H331" s="226" t="s">
        <v>1106</v>
      </c>
      <c r="I331" s="213" t="s">
        <v>5468</v>
      </c>
      <c r="J331" s="226" t="s">
        <v>2276</v>
      </c>
      <c r="K331" s="227" t="s">
        <v>4529</v>
      </c>
      <c r="L331" s="213" t="s">
        <v>5142</v>
      </c>
      <c r="M331" s="213" t="s">
        <v>4852</v>
      </c>
      <c r="N331" s="230" t="s">
        <v>4153</v>
      </c>
    </row>
    <row r="332" spans="1:14">
      <c r="A332" s="226" t="s">
        <v>739</v>
      </c>
      <c r="B332" s="244" t="s">
        <v>1954</v>
      </c>
      <c r="C332" s="226" t="s">
        <v>1955</v>
      </c>
      <c r="D332" s="226" t="s">
        <v>3317</v>
      </c>
      <c r="E332" s="226" t="s">
        <v>3148</v>
      </c>
      <c r="F332" s="226" t="s">
        <v>3495</v>
      </c>
      <c r="G332" s="226" t="s">
        <v>1513</v>
      </c>
      <c r="H332" s="226" t="s">
        <v>1107</v>
      </c>
      <c r="I332" s="213" t="s">
        <v>5469</v>
      </c>
      <c r="J332" s="226" t="s">
        <v>2277</v>
      </c>
      <c r="K332" s="227" t="s">
        <v>4530</v>
      </c>
      <c r="L332" s="213" t="s">
        <v>5143</v>
      </c>
      <c r="M332" s="213" t="s">
        <v>4853</v>
      </c>
      <c r="N332" s="230" t="s">
        <v>4154</v>
      </c>
    </row>
    <row r="333" spans="1:14">
      <c r="A333" s="226" t="s">
        <v>1617</v>
      </c>
      <c r="B333" s="244" t="s">
        <v>1956</v>
      </c>
      <c r="C333" s="226" t="s">
        <v>1957</v>
      </c>
      <c r="D333" s="226" t="s">
        <v>3318</v>
      </c>
      <c r="E333" s="226" t="s">
        <v>3149</v>
      </c>
      <c r="F333" s="226" t="s">
        <v>3496</v>
      </c>
      <c r="G333" s="226" t="s">
        <v>1514</v>
      </c>
      <c r="H333" s="226" t="s">
        <v>1108</v>
      </c>
      <c r="I333" s="213" t="s">
        <v>5470</v>
      </c>
      <c r="J333" s="226" t="s">
        <v>2278</v>
      </c>
      <c r="K333" s="227" t="s">
        <v>4531</v>
      </c>
      <c r="L333" s="213" t="s">
        <v>5144</v>
      </c>
      <c r="M333" s="213" t="s">
        <v>4854</v>
      </c>
      <c r="N333" s="230" t="s">
        <v>4155</v>
      </c>
    </row>
    <row r="334" spans="1:14">
      <c r="A334" s="63" t="s">
        <v>842</v>
      </c>
      <c r="B334" s="244" t="s">
        <v>1958</v>
      </c>
      <c r="C334" s="226" t="s">
        <v>1959</v>
      </c>
      <c r="D334" s="63" t="s">
        <v>3319</v>
      </c>
      <c r="E334" s="63" t="s">
        <v>3150</v>
      </c>
      <c r="F334" s="63" t="s">
        <v>3497</v>
      </c>
      <c r="G334" s="63" t="s">
        <v>1515</v>
      </c>
      <c r="H334" s="63" t="s">
        <v>1109</v>
      </c>
      <c r="I334" s="221" t="s">
        <v>5471</v>
      </c>
      <c r="J334" s="226" t="s">
        <v>2279</v>
      </c>
      <c r="K334" s="248" t="s">
        <v>4532</v>
      </c>
      <c r="L334" s="221" t="s">
        <v>5145</v>
      </c>
      <c r="M334" s="221" t="s">
        <v>4855</v>
      </c>
      <c r="N334" s="230" t="s">
        <v>4156</v>
      </c>
    </row>
    <row r="335" spans="1:14">
      <c r="A335" s="63" t="s">
        <v>1616</v>
      </c>
      <c r="B335" s="244" t="s">
        <v>1960</v>
      </c>
      <c r="C335" s="226" t="s">
        <v>1961</v>
      </c>
      <c r="D335" s="63" t="s">
        <v>3320</v>
      </c>
      <c r="E335" s="63" t="s">
        <v>3151</v>
      </c>
      <c r="F335" s="63" t="s">
        <v>3498</v>
      </c>
      <c r="G335" s="63" t="s">
        <v>1516</v>
      </c>
      <c r="H335" s="63" t="s">
        <v>1110</v>
      </c>
      <c r="I335" s="221" t="s">
        <v>5472</v>
      </c>
      <c r="J335" s="226" t="s">
        <v>2280</v>
      </c>
      <c r="K335" s="248" t="s">
        <v>4533</v>
      </c>
      <c r="L335" s="221" t="s">
        <v>5146</v>
      </c>
      <c r="M335" s="221" t="s">
        <v>4856</v>
      </c>
      <c r="N335" s="230" t="s">
        <v>4157</v>
      </c>
    </row>
    <row r="336" spans="1:14">
      <c r="A336" s="63" t="s">
        <v>1615</v>
      </c>
      <c r="B336" s="244" t="s">
        <v>1962</v>
      </c>
      <c r="C336" s="226" t="s">
        <v>1963</v>
      </c>
      <c r="D336" s="63" t="s">
        <v>3321</v>
      </c>
      <c r="E336" s="63" t="s">
        <v>3152</v>
      </c>
      <c r="F336" s="63" t="s">
        <v>3499</v>
      </c>
      <c r="G336" s="63" t="s">
        <v>1517</v>
      </c>
      <c r="H336" s="63" t="s">
        <v>1111</v>
      </c>
      <c r="I336" s="221" t="s">
        <v>5473</v>
      </c>
      <c r="J336" s="226" t="s">
        <v>2281</v>
      </c>
      <c r="K336" s="248" t="s">
        <v>4534</v>
      </c>
      <c r="L336" s="221" t="s">
        <v>5147</v>
      </c>
      <c r="M336" s="221" t="s">
        <v>4857</v>
      </c>
      <c r="N336" s="230" t="s">
        <v>4158</v>
      </c>
    </row>
    <row r="337" spans="1:14">
      <c r="A337" s="63" t="s">
        <v>846</v>
      </c>
      <c r="B337" s="244" t="s">
        <v>1964</v>
      </c>
      <c r="C337" s="226" t="s">
        <v>1965</v>
      </c>
      <c r="D337" s="63" t="s">
        <v>3322</v>
      </c>
      <c r="E337" s="63" t="s">
        <v>3153</v>
      </c>
      <c r="F337" s="63" t="s">
        <v>3500</v>
      </c>
      <c r="G337" s="63" t="s">
        <v>1518</v>
      </c>
      <c r="H337" s="63" t="s">
        <v>1112</v>
      </c>
      <c r="I337" s="221" t="s">
        <v>5474</v>
      </c>
      <c r="J337" s="226" t="s">
        <v>2282</v>
      </c>
      <c r="K337" s="248" t="s">
        <v>4535</v>
      </c>
      <c r="L337" s="221" t="s">
        <v>5148</v>
      </c>
      <c r="M337" s="221" t="s">
        <v>4858</v>
      </c>
      <c r="N337" s="230" t="s">
        <v>4159</v>
      </c>
    </row>
    <row r="338" spans="1:14">
      <c r="A338" s="226" t="s">
        <v>729</v>
      </c>
      <c r="B338" s="244" t="s">
        <v>1966</v>
      </c>
      <c r="C338" s="226" t="s">
        <v>1967</v>
      </c>
      <c r="D338" s="226" t="s">
        <v>3323</v>
      </c>
      <c r="E338" s="226" t="s">
        <v>3154</v>
      </c>
      <c r="F338" s="226" t="s">
        <v>3501</v>
      </c>
      <c r="G338" s="226" t="s">
        <v>1519</v>
      </c>
      <c r="H338" s="226" t="s">
        <v>1113</v>
      </c>
      <c r="I338" s="213" t="s">
        <v>5475</v>
      </c>
      <c r="J338" s="226" t="s">
        <v>2283</v>
      </c>
      <c r="K338" s="227" t="s">
        <v>4536</v>
      </c>
      <c r="L338" s="213" t="s">
        <v>5149</v>
      </c>
      <c r="M338" s="213" t="s">
        <v>4859</v>
      </c>
      <c r="N338" s="230" t="s">
        <v>4160</v>
      </c>
    </row>
    <row r="339" spans="1:14">
      <c r="A339" s="226" t="s">
        <v>1614</v>
      </c>
      <c r="B339" s="244" t="s">
        <v>1968</v>
      </c>
      <c r="C339" s="226" t="s">
        <v>1969</v>
      </c>
      <c r="D339" s="226" t="s">
        <v>3324</v>
      </c>
      <c r="E339" s="226" t="s">
        <v>3155</v>
      </c>
      <c r="F339" s="226" t="s">
        <v>3502</v>
      </c>
      <c r="G339" s="226" t="s">
        <v>1520</v>
      </c>
      <c r="H339" s="226" t="s">
        <v>1114</v>
      </c>
      <c r="I339" s="213" t="s">
        <v>5476</v>
      </c>
      <c r="J339" s="226" t="s">
        <v>2284</v>
      </c>
      <c r="K339" s="227" t="s">
        <v>4537</v>
      </c>
      <c r="L339" s="213" t="s">
        <v>5150</v>
      </c>
      <c r="M339" s="213" t="s">
        <v>4860</v>
      </c>
      <c r="N339" s="230" t="s">
        <v>4161</v>
      </c>
    </row>
    <row r="340" spans="1:14">
      <c r="A340" s="226" t="s">
        <v>757</v>
      </c>
      <c r="B340" s="244" t="s">
        <v>1970</v>
      </c>
      <c r="C340" s="226" t="s">
        <v>1971</v>
      </c>
      <c r="D340" s="226" t="s">
        <v>3325</v>
      </c>
      <c r="E340" s="226" t="s">
        <v>3156</v>
      </c>
      <c r="F340" s="226" t="s">
        <v>3503</v>
      </c>
      <c r="G340" s="226" t="s">
        <v>1521</v>
      </c>
      <c r="H340" s="226" t="s">
        <v>1115</v>
      </c>
      <c r="I340" s="213" t="s">
        <v>5477</v>
      </c>
      <c r="J340" s="226" t="s">
        <v>2285</v>
      </c>
      <c r="K340" s="227" t="s">
        <v>4538</v>
      </c>
      <c r="L340" s="213" t="s">
        <v>5151</v>
      </c>
      <c r="M340" s="213" t="s">
        <v>4861</v>
      </c>
      <c r="N340" s="230" t="s">
        <v>4162</v>
      </c>
    </row>
    <row r="341" spans="1:14">
      <c r="A341" s="226" t="s">
        <v>753</v>
      </c>
      <c r="B341" s="244" t="s">
        <v>1972</v>
      </c>
      <c r="C341" s="226" t="s">
        <v>1973</v>
      </c>
      <c r="D341" s="226" t="s">
        <v>3326</v>
      </c>
      <c r="E341" s="226" t="s">
        <v>3157</v>
      </c>
      <c r="F341" s="226" t="s">
        <v>3504</v>
      </c>
      <c r="G341" s="226" t="s">
        <v>1522</v>
      </c>
      <c r="H341" s="226" t="s">
        <v>1116</v>
      </c>
      <c r="I341" s="213" t="s">
        <v>5478</v>
      </c>
      <c r="J341" s="226" t="s">
        <v>2286</v>
      </c>
      <c r="K341" s="227" t="s">
        <v>4539</v>
      </c>
      <c r="L341" s="213" t="s">
        <v>5152</v>
      </c>
      <c r="M341" s="213" t="s">
        <v>4862</v>
      </c>
      <c r="N341" s="230" t="s">
        <v>4163</v>
      </c>
    </row>
    <row r="342" spans="1:14">
      <c r="A342" s="226" t="s">
        <v>752</v>
      </c>
      <c r="B342" s="244" t="s">
        <v>1974</v>
      </c>
      <c r="C342" s="226" t="s">
        <v>1975</v>
      </c>
      <c r="D342" s="226" t="s">
        <v>3327</v>
      </c>
      <c r="E342" s="226" t="s">
        <v>3137</v>
      </c>
      <c r="F342" s="226" t="s">
        <v>3505</v>
      </c>
      <c r="G342" s="226" t="s">
        <v>1523</v>
      </c>
      <c r="H342" s="226" t="s">
        <v>1117</v>
      </c>
      <c r="I342" s="213" t="s">
        <v>5479</v>
      </c>
      <c r="J342" s="226" t="s">
        <v>2287</v>
      </c>
      <c r="K342" s="227" t="s">
        <v>4540</v>
      </c>
      <c r="L342" s="213" t="s">
        <v>5153</v>
      </c>
      <c r="M342" s="213" t="s">
        <v>4863</v>
      </c>
      <c r="N342" s="230" t="s">
        <v>4164</v>
      </c>
    </row>
    <row r="343" spans="1:14" ht="15.75">
      <c r="A343" s="226" t="s">
        <v>847</v>
      </c>
      <c r="B343" s="244" t="s">
        <v>1976</v>
      </c>
      <c r="C343" s="226" t="s">
        <v>1977</v>
      </c>
      <c r="D343" s="226" t="s">
        <v>3328</v>
      </c>
      <c r="E343" s="226" t="s">
        <v>3158</v>
      </c>
      <c r="F343" s="226" t="s">
        <v>3506</v>
      </c>
      <c r="G343" s="226" t="s">
        <v>1524</v>
      </c>
      <c r="H343" s="226" t="s">
        <v>1118</v>
      </c>
      <c r="I343" s="213" t="s">
        <v>5480</v>
      </c>
      <c r="J343" s="226" t="s">
        <v>2288</v>
      </c>
      <c r="K343" s="227" t="s">
        <v>4541</v>
      </c>
      <c r="L343" s="213" t="s">
        <v>5154</v>
      </c>
      <c r="M343" s="213" t="s">
        <v>4864</v>
      </c>
      <c r="N343" s="230" t="s">
        <v>4165</v>
      </c>
    </row>
    <row r="344" spans="1:14" ht="15.75">
      <c r="A344" s="226" t="s">
        <v>849</v>
      </c>
      <c r="B344" s="244" t="s">
        <v>1978</v>
      </c>
      <c r="C344" s="226" t="s">
        <v>1979</v>
      </c>
      <c r="D344" s="226" t="s">
        <v>3329</v>
      </c>
      <c r="E344" s="226" t="s">
        <v>3159</v>
      </c>
      <c r="F344" s="226" t="s">
        <v>3507</v>
      </c>
      <c r="G344" s="226" t="s">
        <v>1525</v>
      </c>
      <c r="H344" s="226" t="s">
        <v>1119</v>
      </c>
      <c r="I344" s="213" t="s">
        <v>5481</v>
      </c>
      <c r="J344" s="226" t="s">
        <v>2289</v>
      </c>
      <c r="K344" s="227" t="s">
        <v>4542</v>
      </c>
      <c r="L344" s="213" t="s">
        <v>5155</v>
      </c>
      <c r="M344" s="213" t="s">
        <v>4865</v>
      </c>
      <c r="N344" s="230" t="s">
        <v>4166</v>
      </c>
    </row>
    <row r="345" spans="1:14">
      <c r="A345" s="226" t="s">
        <v>722</v>
      </c>
      <c r="B345" s="244" t="s">
        <v>1980</v>
      </c>
      <c r="C345" s="226" t="s">
        <v>1981</v>
      </c>
      <c r="D345" s="226" t="s">
        <v>3330</v>
      </c>
      <c r="E345" s="226" t="s">
        <v>3160</v>
      </c>
      <c r="F345" s="226" t="s">
        <v>3508</v>
      </c>
      <c r="G345" s="226" t="s">
        <v>1526</v>
      </c>
      <c r="H345" s="226" t="s">
        <v>1120</v>
      </c>
      <c r="I345" s="213" t="s">
        <v>5482</v>
      </c>
      <c r="J345" s="226" t="s">
        <v>2290</v>
      </c>
      <c r="K345" s="227" t="s">
        <v>4543</v>
      </c>
      <c r="L345" s="213" t="s">
        <v>5156</v>
      </c>
      <c r="M345" s="213" t="s">
        <v>4866</v>
      </c>
      <c r="N345" s="230" t="s">
        <v>4167</v>
      </c>
    </row>
    <row r="346" spans="1:14">
      <c r="A346" s="226" t="s">
        <v>1613</v>
      </c>
      <c r="B346" s="244" t="s">
        <v>1982</v>
      </c>
      <c r="C346" s="226" t="s">
        <v>1983</v>
      </c>
      <c r="D346" s="226" t="s">
        <v>3331</v>
      </c>
      <c r="E346" s="226" t="s">
        <v>3161</v>
      </c>
      <c r="F346" s="226" t="s">
        <v>3470</v>
      </c>
      <c r="G346" s="226" t="s">
        <v>1527</v>
      </c>
      <c r="H346" s="226" t="s">
        <v>1121</v>
      </c>
      <c r="I346" s="213" t="s">
        <v>5483</v>
      </c>
      <c r="J346" s="226" t="s">
        <v>2291</v>
      </c>
      <c r="K346" s="227" t="s">
        <v>4544</v>
      </c>
      <c r="L346" s="213" t="s">
        <v>5157</v>
      </c>
      <c r="M346" s="213" t="s">
        <v>4867</v>
      </c>
      <c r="N346" s="230" t="s">
        <v>4168</v>
      </c>
    </row>
    <row r="347" spans="1:14">
      <c r="A347" s="226" t="s">
        <v>2880</v>
      </c>
      <c r="B347" s="244" t="s">
        <v>1984</v>
      </c>
      <c r="C347" s="226" t="s">
        <v>1985</v>
      </c>
      <c r="D347" s="226" t="s">
        <v>3332</v>
      </c>
      <c r="E347" s="226" t="s">
        <v>3162</v>
      </c>
      <c r="F347" s="226" t="s">
        <v>3509</v>
      </c>
      <c r="G347" s="226" t="s">
        <v>1528</v>
      </c>
      <c r="H347" s="226" t="s">
        <v>1122</v>
      </c>
      <c r="I347" s="213" t="s">
        <v>5484</v>
      </c>
      <c r="J347" s="226" t="s">
        <v>2292</v>
      </c>
      <c r="K347" s="227" t="s">
        <v>4545</v>
      </c>
      <c r="L347" s="213" t="s">
        <v>5158</v>
      </c>
      <c r="M347" s="213" t="s">
        <v>4868</v>
      </c>
      <c r="N347" s="230" t="s">
        <v>4169</v>
      </c>
    </row>
    <row r="348" spans="1:14">
      <c r="A348" s="226" t="s">
        <v>1612</v>
      </c>
      <c r="B348" s="244" t="s">
        <v>1986</v>
      </c>
      <c r="C348" s="226" t="s">
        <v>1987</v>
      </c>
      <c r="D348" s="226" t="s">
        <v>3333</v>
      </c>
      <c r="E348" s="226" t="s">
        <v>3163</v>
      </c>
      <c r="F348" s="226" t="s">
        <v>3510</v>
      </c>
      <c r="G348" s="226" t="s">
        <v>1529</v>
      </c>
      <c r="H348" s="226" t="s">
        <v>1123</v>
      </c>
      <c r="I348" s="213" t="s">
        <v>5485</v>
      </c>
      <c r="J348" s="226" t="s">
        <v>2293</v>
      </c>
      <c r="K348" s="227" t="s">
        <v>4546</v>
      </c>
      <c r="L348" s="213" t="s">
        <v>5159</v>
      </c>
      <c r="M348" s="213" t="s">
        <v>4869</v>
      </c>
      <c r="N348" s="230" t="s">
        <v>4170</v>
      </c>
    </row>
    <row r="349" spans="1:14">
      <c r="A349" s="226" t="s">
        <v>1611</v>
      </c>
      <c r="B349" s="244" t="s">
        <v>1988</v>
      </c>
      <c r="C349" s="226" t="s">
        <v>1989</v>
      </c>
      <c r="D349" s="226" t="s">
        <v>3334</v>
      </c>
      <c r="E349" s="226" t="s">
        <v>3164</v>
      </c>
      <c r="F349" s="226" t="s">
        <v>3511</v>
      </c>
      <c r="G349" s="226" t="s">
        <v>1530</v>
      </c>
      <c r="H349" s="226" t="s">
        <v>1124</v>
      </c>
      <c r="I349" s="213" t="s">
        <v>5486</v>
      </c>
      <c r="J349" s="226" t="s">
        <v>2080</v>
      </c>
      <c r="K349" s="227" t="s">
        <v>4547</v>
      </c>
      <c r="L349" s="213" t="s">
        <v>5160</v>
      </c>
      <c r="M349" s="213" t="s">
        <v>4870</v>
      </c>
      <c r="N349" s="230" t="s">
        <v>4171</v>
      </c>
    </row>
    <row r="350" spans="1:14">
      <c r="A350" s="226" t="s">
        <v>815</v>
      </c>
      <c r="B350" s="244" t="s">
        <v>1990</v>
      </c>
      <c r="C350" s="226" t="s">
        <v>1991</v>
      </c>
      <c r="D350" s="226" t="s">
        <v>3335</v>
      </c>
      <c r="E350" s="226" t="s">
        <v>3165</v>
      </c>
      <c r="F350" s="226" t="s">
        <v>3512</v>
      </c>
      <c r="G350" s="226" t="s">
        <v>1531</v>
      </c>
      <c r="H350" s="226" t="s">
        <v>1125</v>
      </c>
      <c r="I350" s="213" t="s">
        <v>5487</v>
      </c>
      <c r="J350" s="226" t="s">
        <v>2294</v>
      </c>
      <c r="K350" s="227" t="s">
        <v>4548</v>
      </c>
      <c r="L350" s="213" t="s">
        <v>5161</v>
      </c>
      <c r="M350" s="213" t="s">
        <v>4871</v>
      </c>
      <c r="N350" s="230" t="s">
        <v>4172</v>
      </c>
    </row>
    <row r="351" spans="1:14">
      <c r="A351" s="226" t="s">
        <v>748</v>
      </c>
      <c r="B351" s="244" t="s">
        <v>1992</v>
      </c>
      <c r="C351" s="226" t="s">
        <v>1993</v>
      </c>
      <c r="D351" s="226" t="s">
        <v>3336</v>
      </c>
      <c r="E351" s="226" t="s">
        <v>3166</v>
      </c>
      <c r="F351" s="226" t="s">
        <v>3513</v>
      </c>
      <c r="G351" s="226" t="s">
        <v>1532</v>
      </c>
      <c r="H351" s="226" t="s">
        <v>1126</v>
      </c>
      <c r="I351" s="213" t="s">
        <v>5488</v>
      </c>
      <c r="J351" s="226" t="s">
        <v>2295</v>
      </c>
      <c r="K351" s="227" t="s">
        <v>4549</v>
      </c>
      <c r="L351" s="213" t="s">
        <v>5162</v>
      </c>
      <c r="M351" s="213" t="s">
        <v>4872</v>
      </c>
      <c r="N351" s="230" t="s">
        <v>4173</v>
      </c>
    </row>
    <row r="352" spans="1:14">
      <c r="A352" s="226" t="s">
        <v>852</v>
      </c>
      <c r="B352" s="244" t="s">
        <v>1994</v>
      </c>
      <c r="C352" s="226" t="s">
        <v>1994</v>
      </c>
      <c r="D352" s="226" t="s">
        <v>852</v>
      </c>
      <c r="E352" s="226" t="s">
        <v>852</v>
      </c>
      <c r="F352" s="226" t="s">
        <v>852</v>
      </c>
      <c r="G352" s="226" t="s">
        <v>852</v>
      </c>
      <c r="H352" s="226" t="s">
        <v>852</v>
      </c>
      <c r="I352" s="213" t="s">
        <v>4550</v>
      </c>
      <c r="J352" s="226" t="s">
        <v>2296</v>
      </c>
      <c r="K352" s="227" t="s">
        <v>4550</v>
      </c>
      <c r="L352" s="213" t="s">
        <v>4550</v>
      </c>
      <c r="M352" s="213" t="s">
        <v>4550</v>
      </c>
      <c r="N352" s="230" t="s">
        <v>4174</v>
      </c>
    </row>
    <row r="353" spans="1:14">
      <c r="A353" s="226" t="s">
        <v>1610</v>
      </c>
      <c r="B353" s="244" t="s">
        <v>1995</v>
      </c>
      <c r="C353" s="226" t="s">
        <v>1996</v>
      </c>
      <c r="D353" s="226" t="s">
        <v>3337</v>
      </c>
      <c r="E353" s="226" t="s">
        <v>3167</v>
      </c>
      <c r="F353" s="226" t="s">
        <v>3514</v>
      </c>
      <c r="G353" s="226" t="s">
        <v>1533</v>
      </c>
      <c r="H353" s="226" t="s">
        <v>1127</v>
      </c>
      <c r="I353" s="213" t="s">
        <v>5489</v>
      </c>
      <c r="J353" s="226" t="s">
        <v>2297</v>
      </c>
      <c r="K353" s="227" t="s">
        <v>4551</v>
      </c>
      <c r="L353" s="213" t="s">
        <v>5163</v>
      </c>
      <c r="M353" s="213" t="s">
        <v>4873</v>
      </c>
      <c r="N353" s="230" t="s">
        <v>4175</v>
      </c>
    </row>
    <row r="354" spans="1:14">
      <c r="A354" s="226" t="s">
        <v>1609</v>
      </c>
      <c r="B354" s="244" t="s">
        <v>1997</v>
      </c>
      <c r="C354" s="226" t="s">
        <v>1998</v>
      </c>
      <c r="D354" s="226" t="s">
        <v>3338</v>
      </c>
      <c r="E354" s="226" t="s">
        <v>3168</v>
      </c>
      <c r="F354" s="226" t="s">
        <v>3515</v>
      </c>
      <c r="G354" s="226" t="s">
        <v>1534</v>
      </c>
      <c r="H354" s="226" t="s">
        <v>1128</v>
      </c>
      <c r="I354" s="213" t="s">
        <v>5490</v>
      </c>
      <c r="J354" s="226" t="s">
        <v>2298</v>
      </c>
      <c r="K354" s="227" t="s">
        <v>4552</v>
      </c>
      <c r="L354" s="213" t="s">
        <v>5164</v>
      </c>
      <c r="M354" s="213" t="s">
        <v>4874</v>
      </c>
      <c r="N354" s="230" t="s">
        <v>4176</v>
      </c>
    </row>
    <row r="355" spans="1:14">
      <c r="A355" s="226" t="s">
        <v>1608</v>
      </c>
      <c r="B355" s="244" t="s">
        <v>1999</v>
      </c>
      <c r="C355" s="226" t="s">
        <v>2000</v>
      </c>
      <c r="D355" s="226" t="s">
        <v>3339</v>
      </c>
      <c r="E355" s="226" t="s">
        <v>3169</v>
      </c>
      <c r="F355" s="226" t="s">
        <v>3516</v>
      </c>
      <c r="G355" s="226" t="s">
        <v>1535</v>
      </c>
      <c r="H355" s="226" t="s">
        <v>1129</v>
      </c>
      <c r="I355" s="213" t="s">
        <v>5491</v>
      </c>
      <c r="J355" s="226" t="s">
        <v>2299</v>
      </c>
      <c r="K355" s="227" t="s">
        <v>4553</v>
      </c>
      <c r="L355" s="213" t="s">
        <v>5165</v>
      </c>
      <c r="M355" s="213" t="s">
        <v>4875</v>
      </c>
      <c r="N355" s="230" t="s">
        <v>4177</v>
      </c>
    </row>
    <row r="356" spans="1:14">
      <c r="A356" s="226" t="s">
        <v>1607</v>
      </c>
      <c r="B356" s="244" t="s">
        <v>2001</v>
      </c>
      <c r="C356" s="226" t="s">
        <v>2002</v>
      </c>
      <c r="D356" s="226" t="s">
        <v>3340</v>
      </c>
      <c r="E356" s="226" t="s">
        <v>3170</v>
      </c>
      <c r="F356" s="226" t="s">
        <v>3517</v>
      </c>
      <c r="G356" s="226" t="s">
        <v>1536</v>
      </c>
      <c r="H356" s="226" t="s">
        <v>1130</v>
      </c>
      <c r="I356" s="213" t="s">
        <v>5492</v>
      </c>
      <c r="J356" s="226" t="s">
        <v>2300</v>
      </c>
      <c r="K356" s="227" t="s">
        <v>4554</v>
      </c>
      <c r="L356" s="213" t="s">
        <v>5166</v>
      </c>
      <c r="M356" s="213" t="s">
        <v>4876</v>
      </c>
      <c r="N356" s="230" t="s">
        <v>4178</v>
      </c>
    </row>
    <row r="357" spans="1:14">
      <c r="A357" s="226" t="s">
        <v>3027</v>
      </c>
      <c r="B357" s="244" t="s">
        <v>3633</v>
      </c>
      <c r="C357" s="226" t="s">
        <v>3634</v>
      </c>
      <c r="D357" s="226" t="s">
        <v>3635</v>
      </c>
      <c r="E357" s="226" t="s">
        <v>3636</v>
      </c>
      <c r="F357" s="226" t="s">
        <v>3637</v>
      </c>
      <c r="G357" s="226" t="s">
        <v>3638</v>
      </c>
      <c r="H357" s="226" t="s">
        <v>3639</v>
      </c>
      <c r="I357" s="213" t="s">
        <v>5493</v>
      </c>
      <c r="J357" s="226" t="s">
        <v>3640</v>
      </c>
      <c r="K357" s="227" t="s">
        <v>4555</v>
      </c>
      <c r="L357" s="213" t="s">
        <v>5167</v>
      </c>
      <c r="M357" s="213" t="s">
        <v>4877</v>
      </c>
      <c r="N357" s="230" t="s">
        <v>4179</v>
      </c>
    </row>
    <row r="358" spans="1:14" s="226" customFormat="1">
      <c r="A358" s="226" t="s">
        <v>3550</v>
      </c>
      <c r="B358" s="244" t="s">
        <v>3641</v>
      </c>
      <c r="C358" s="226" t="s">
        <v>3642</v>
      </c>
      <c r="D358" s="226" t="s">
        <v>3643</v>
      </c>
      <c r="E358" s="226" t="s">
        <v>3644</v>
      </c>
      <c r="F358" s="226" t="s">
        <v>3645</v>
      </c>
      <c r="G358" s="226" t="s">
        <v>3646</v>
      </c>
      <c r="H358" s="226" t="s">
        <v>3647</v>
      </c>
      <c r="I358" s="213" t="s">
        <v>5494</v>
      </c>
      <c r="J358" s="226" t="s">
        <v>3648</v>
      </c>
      <c r="K358" s="227" t="s">
        <v>4556</v>
      </c>
      <c r="L358" s="213" t="s">
        <v>5168</v>
      </c>
      <c r="M358" s="213" t="s">
        <v>4878</v>
      </c>
      <c r="N358" s="230" t="s">
        <v>4180</v>
      </c>
    </row>
    <row r="359" spans="1:14">
      <c r="A359" s="226" t="s">
        <v>701</v>
      </c>
      <c r="B359" s="244" t="s">
        <v>2003</v>
      </c>
      <c r="C359" s="226" t="s">
        <v>2004</v>
      </c>
      <c r="D359" s="226" t="s">
        <v>3341</v>
      </c>
      <c r="E359" s="226" t="s">
        <v>3171</v>
      </c>
      <c r="F359" s="226" t="s">
        <v>3518</v>
      </c>
      <c r="G359" s="226" t="s">
        <v>1537</v>
      </c>
      <c r="H359" s="226" t="s">
        <v>1131</v>
      </c>
      <c r="I359" s="213" t="s">
        <v>5495</v>
      </c>
      <c r="J359" s="226" t="s">
        <v>2301</v>
      </c>
      <c r="K359" s="227" t="s">
        <v>4557</v>
      </c>
      <c r="L359" s="213" t="s">
        <v>5169</v>
      </c>
      <c r="M359" s="213" t="s">
        <v>4879</v>
      </c>
      <c r="N359" s="230" t="s">
        <v>4181</v>
      </c>
    </row>
    <row r="360" spans="1:14">
      <c r="A360" s="226" t="s">
        <v>766</v>
      </c>
      <c r="B360" s="244" t="s">
        <v>2005</v>
      </c>
      <c r="C360" s="226" t="s">
        <v>2006</v>
      </c>
      <c r="D360" s="226" t="s">
        <v>3342</v>
      </c>
      <c r="E360" s="226" t="s">
        <v>3172</v>
      </c>
      <c r="F360" s="226" t="s">
        <v>3519</v>
      </c>
      <c r="G360" s="226" t="s">
        <v>1538</v>
      </c>
      <c r="H360" s="226" t="s">
        <v>1132</v>
      </c>
      <c r="I360" s="213" t="s">
        <v>5496</v>
      </c>
      <c r="J360" s="226" t="s">
        <v>2302</v>
      </c>
      <c r="K360" s="227" t="s">
        <v>4558</v>
      </c>
      <c r="L360" s="213" t="s">
        <v>5170</v>
      </c>
      <c r="M360" s="213" t="s">
        <v>4880</v>
      </c>
      <c r="N360" s="230" t="s">
        <v>4182</v>
      </c>
    </row>
    <row r="361" spans="1:14">
      <c r="A361" s="226" t="s">
        <v>772</v>
      </c>
      <c r="B361" s="244" t="s">
        <v>2007</v>
      </c>
      <c r="C361" s="226" t="s">
        <v>2008</v>
      </c>
      <c r="D361" s="226" t="s">
        <v>3343</v>
      </c>
      <c r="E361" s="226" t="s">
        <v>3173</v>
      </c>
      <c r="F361" s="226" t="s">
        <v>3520</v>
      </c>
      <c r="G361" s="226" t="s">
        <v>1539</v>
      </c>
      <c r="H361" s="226" t="s">
        <v>1133</v>
      </c>
      <c r="I361" s="213" t="s">
        <v>5497</v>
      </c>
      <c r="J361" s="226" t="s">
        <v>2303</v>
      </c>
      <c r="K361" s="227" t="s">
        <v>4559</v>
      </c>
      <c r="L361" s="213" t="s">
        <v>5171</v>
      </c>
      <c r="M361" s="213" t="s">
        <v>4881</v>
      </c>
      <c r="N361" s="230" t="s">
        <v>4183</v>
      </c>
    </row>
    <row r="362" spans="1:14">
      <c r="A362" s="226" t="s">
        <v>706</v>
      </c>
      <c r="B362" s="244" t="s">
        <v>2009</v>
      </c>
      <c r="C362" s="226" t="s">
        <v>2010</v>
      </c>
      <c r="D362" s="226" t="s">
        <v>3344</v>
      </c>
      <c r="E362" s="226" t="s">
        <v>3174</v>
      </c>
      <c r="F362" s="226" t="s">
        <v>3521</v>
      </c>
      <c r="G362" s="226" t="s">
        <v>1540</v>
      </c>
      <c r="H362" s="226" t="s">
        <v>1134</v>
      </c>
      <c r="I362" s="213" t="s">
        <v>5498</v>
      </c>
      <c r="J362" s="226" t="s">
        <v>2304</v>
      </c>
      <c r="K362" s="227" t="s">
        <v>4560</v>
      </c>
      <c r="L362" s="213" t="s">
        <v>5172</v>
      </c>
      <c r="M362" s="213" t="s">
        <v>4882</v>
      </c>
      <c r="N362" s="230" t="s">
        <v>4184</v>
      </c>
    </row>
    <row r="363" spans="1:14" s="226" customFormat="1">
      <c r="A363" s="226" t="s">
        <v>3021</v>
      </c>
      <c r="B363" s="244" t="s">
        <v>3699</v>
      </c>
      <c r="C363" s="226" t="s">
        <v>3700</v>
      </c>
      <c r="D363" s="226" t="s">
        <v>3701</v>
      </c>
      <c r="E363" s="226" t="s">
        <v>3702</v>
      </c>
      <c r="F363" s="226" t="s">
        <v>3703</v>
      </c>
      <c r="G363" s="226" t="s">
        <v>3704</v>
      </c>
      <c r="H363" s="226" t="s">
        <v>3705</v>
      </c>
      <c r="I363" s="213" t="s">
        <v>5499</v>
      </c>
      <c r="J363" s="226" t="s">
        <v>3706</v>
      </c>
      <c r="K363" s="227" t="s">
        <v>4561</v>
      </c>
      <c r="L363" s="213" t="s">
        <v>5173</v>
      </c>
      <c r="M363" s="213" t="s">
        <v>4561</v>
      </c>
      <c r="N363" s="230" t="s">
        <v>4185</v>
      </c>
    </row>
    <row r="364" spans="1:14" s="226" customFormat="1">
      <c r="A364" s="226" t="s">
        <v>3010</v>
      </c>
      <c r="B364" s="244" t="s">
        <v>3657</v>
      </c>
      <c r="C364" s="226" t="s">
        <v>3658</v>
      </c>
      <c r="D364" s="226" t="s">
        <v>3659</v>
      </c>
      <c r="E364" s="226" t="s">
        <v>3660</v>
      </c>
      <c r="F364" s="226" t="s">
        <v>3661</v>
      </c>
      <c r="G364" s="232" t="s">
        <v>3662</v>
      </c>
      <c r="H364" s="226" t="s">
        <v>3663</v>
      </c>
      <c r="I364" s="213" t="s">
        <v>5324</v>
      </c>
      <c r="J364" s="226" t="s">
        <v>3664</v>
      </c>
      <c r="K364" s="227" t="s">
        <v>4358</v>
      </c>
      <c r="L364" s="213" t="s">
        <v>5011</v>
      </c>
      <c r="M364" s="213" t="s">
        <v>4707</v>
      </c>
      <c r="N364" s="230" t="s">
        <v>3977</v>
      </c>
    </row>
    <row r="365" spans="1:14" s="226" customFormat="1">
      <c r="A365" s="226" t="s">
        <v>2881</v>
      </c>
      <c r="B365" s="244" t="s">
        <v>2011</v>
      </c>
      <c r="C365" s="226" t="s">
        <v>2012</v>
      </c>
      <c r="D365" s="226" t="s">
        <v>3345</v>
      </c>
      <c r="E365" s="226" t="s">
        <v>3175</v>
      </c>
      <c r="F365" s="226" t="s">
        <v>3522</v>
      </c>
      <c r="G365" s="226" t="s">
        <v>1541</v>
      </c>
      <c r="H365" s="226" t="s">
        <v>1135</v>
      </c>
      <c r="I365" s="213" t="s">
        <v>5500</v>
      </c>
      <c r="J365" s="226" t="s">
        <v>2305</v>
      </c>
      <c r="K365" s="227" t="s">
        <v>4562</v>
      </c>
      <c r="L365" s="213" t="s">
        <v>5174</v>
      </c>
      <c r="M365" s="213" t="s">
        <v>4883</v>
      </c>
      <c r="N365" s="230" t="s">
        <v>4186</v>
      </c>
    </row>
    <row r="366" spans="1:14" s="226" customFormat="1">
      <c r="A366" s="226" t="s">
        <v>3022</v>
      </c>
      <c r="B366" s="244" t="s">
        <v>3707</v>
      </c>
      <c r="C366" s="226" t="s">
        <v>3708</v>
      </c>
      <c r="D366" s="226" t="s">
        <v>3709</v>
      </c>
      <c r="E366" s="226" t="s">
        <v>3710</v>
      </c>
      <c r="F366" s="226" t="s">
        <v>3711</v>
      </c>
      <c r="G366" s="226" t="s">
        <v>3712</v>
      </c>
      <c r="H366" s="226" t="s">
        <v>3713</v>
      </c>
      <c r="I366" s="213" t="s">
        <v>5501</v>
      </c>
      <c r="J366" s="226" t="s">
        <v>3714</v>
      </c>
      <c r="K366" s="227" t="s">
        <v>4563</v>
      </c>
      <c r="L366" s="213" t="s">
        <v>5175</v>
      </c>
      <c r="M366" s="213" t="s">
        <v>4884</v>
      </c>
      <c r="N366" s="230" t="s">
        <v>4187</v>
      </c>
    </row>
    <row r="367" spans="1:14" s="226" customFormat="1">
      <c r="A367" s="226" t="s">
        <v>3026</v>
      </c>
      <c r="B367" s="244" t="s">
        <v>3715</v>
      </c>
      <c r="C367" s="226" t="s">
        <v>3716</v>
      </c>
      <c r="D367" s="226" t="s">
        <v>3717</v>
      </c>
      <c r="E367" s="226" t="s">
        <v>3718</v>
      </c>
      <c r="F367" s="226" t="s">
        <v>3719</v>
      </c>
      <c r="G367" s="226" t="s">
        <v>3720</v>
      </c>
      <c r="H367" s="226" t="s">
        <v>3721</v>
      </c>
      <c r="I367" s="213" t="s">
        <v>5502</v>
      </c>
      <c r="J367" s="226" t="s">
        <v>3722</v>
      </c>
      <c r="K367" s="227" t="s">
        <v>4564</v>
      </c>
      <c r="L367" s="213" t="s">
        <v>4564</v>
      </c>
      <c r="M367" s="213" t="s">
        <v>4885</v>
      </c>
      <c r="N367" s="230" t="s">
        <v>4188</v>
      </c>
    </row>
    <row r="368" spans="1:14" s="226" customFormat="1">
      <c r="A368" s="226" t="s">
        <v>3549</v>
      </c>
      <c r="B368" s="244" t="s">
        <v>3723</v>
      </c>
      <c r="C368" s="226" t="s">
        <v>3724</v>
      </c>
      <c r="D368" s="226" t="s">
        <v>3725</v>
      </c>
      <c r="E368" s="226" t="s">
        <v>3726</v>
      </c>
      <c r="F368" s="226" t="s">
        <v>3727</v>
      </c>
      <c r="G368" s="226" t="s">
        <v>3728</v>
      </c>
      <c r="H368" s="226" t="s">
        <v>3729</v>
      </c>
      <c r="I368" s="213" t="s">
        <v>5503</v>
      </c>
      <c r="J368" s="226" t="s">
        <v>3730</v>
      </c>
      <c r="K368" s="227" t="s">
        <v>4565</v>
      </c>
      <c r="L368" s="213" t="s">
        <v>4565</v>
      </c>
      <c r="M368" s="213" t="s">
        <v>4886</v>
      </c>
      <c r="N368" s="230" t="s">
        <v>4189</v>
      </c>
    </row>
    <row r="369" spans="1:14">
      <c r="A369" s="226" t="s">
        <v>1606</v>
      </c>
      <c r="B369" s="244" t="s">
        <v>2013</v>
      </c>
      <c r="C369" s="226" t="s">
        <v>2014</v>
      </c>
      <c r="D369" s="226" t="s">
        <v>3346</v>
      </c>
      <c r="E369" s="226" t="s">
        <v>3176</v>
      </c>
      <c r="F369" s="226" t="s">
        <v>3523</v>
      </c>
      <c r="G369" s="226" t="s">
        <v>1548</v>
      </c>
      <c r="H369" s="226" t="s">
        <v>1544</v>
      </c>
      <c r="I369" s="213" t="s">
        <v>5504</v>
      </c>
      <c r="J369" s="226" t="s">
        <v>2306</v>
      </c>
      <c r="K369" s="227" t="s">
        <v>4566</v>
      </c>
      <c r="L369" s="213" t="s">
        <v>5176</v>
      </c>
      <c r="M369" s="213" t="s">
        <v>4887</v>
      </c>
      <c r="N369" s="230" t="s">
        <v>4190</v>
      </c>
    </row>
    <row r="370" spans="1:14">
      <c r="A370" s="226" t="s">
        <v>867</v>
      </c>
      <c r="B370" s="244" t="s">
        <v>2015</v>
      </c>
      <c r="C370" s="226" t="s">
        <v>2016</v>
      </c>
      <c r="D370" s="226" t="s">
        <v>3347</v>
      </c>
      <c r="E370" s="226" t="s">
        <v>3177</v>
      </c>
      <c r="F370" s="226" t="s">
        <v>3524</v>
      </c>
      <c r="G370" s="226" t="s">
        <v>1549</v>
      </c>
      <c r="H370" s="226" t="s">
        <v>1545</v>
      </c>
      <c r="I370" s="213" t="s">
        <v>5505</v>
      </c>
      <c r="J370" s="226" t="s">
        <v>2307</v>
      </c>
      <c r="K370" s="227" t="s">
        <v>4567</v>
      </c>
      <c r="L370" s="213" t="s">
        <v>5177</v>
      </c>
      <c r="M370" s="213" t="s">
        <v>4888</v>
      </c>
      <c r="N370" s="230" t="s">
        <v>4191</v>
      </c>
    </row>
    <row r="371" spans="1:14">
      <c r="A371" s="226" t="s">
        <v>869</v>
      </c>
      <c r="B371" s="244" t="s">
        <v>2017</v>
      </c>
      <c r="C371" s="226" t="s">
        <v>2018</v>
      </c>
      <c r="D371" s="226" t="s">
        <v>3348</v>
      </c>
      <c r="E371" s="226" t="s">
        <v>3178</v>
      </c>
      <c r="F371" s="226" t="s">
        <v>3525</v>
      </c>
      <c r="G371" s="226" t="s">
        <v>1550</v>
      </c>
      <c r="H371" s="226" t="s">
        <v>1546</v>
      </c>
      <c r="I371" s="213" t="s">
        <v>5506</v>
      </c>
      <c r="J371" s="226" t="s">
        <v>2308</v>
      </c>
      <c r="K371" s="227" t="s">
        <v>4568</v>
      </c>
      <c r="L371" s="213" t="s">
        <v>5178</v>
      </c>
      <c r="M371" s="213" t="s">
        <v>4889</v>
      </c>
      <c r="N371" s="230" t="s">
        <v>4192</v>
      </c>
    </row>
    <row r="372" spans="1:14">
      <c r="A372" s="226" t="s">
        <v>870</v>
      </c>
      <c r="B372" s="244" t="s">
        <v>2019</v>
      </c>
      <c r="C372" s="226" t="s">
        <v>2020</v>
      </c>
      <c r="D372" s="226" t="s">
        <v>3349</v>
      </c>
      <c r="E372" s="226" t="s">
        <v>3179</v>
      </c>
      <c r="F372" s="226" t="s">
        <v>3526</v>
      </c>
      <c r="G372" s="226" t="s">
        <v>1551</v>
      </c>
      <c r="H372" s="226" t="s">
        <v>1547</v>
      </c>
      <c r="I372" s="213" t="s">
        <v>5507</v>
      </c>
      <c r="J372" s="226" t="s">
        <v>2309</v>
      </c>
      <c r="K372" s="227" t="s">
        <v>4569</v>
      </c>
      <c r="L372" s="213" t="s">
        <v>5179</v>
      </c>
      <c r="M372" s="213" t="s">
        <v>4890</v>
      </c>
      <c r="N372" s="230" t="s">
        <v>4193</v>
      </c>
    </row>
    <row r="373" spans="1:14" s="226" customFormat="1">
      <c r="A373" s="226" t="s">
        <v>3011</v>
      </c>
      <c r="B373" s="226" t="s">
        <v>3011</v>
      </c>
      <c r="C373" s="226" t="s">
        <v>3011</v>
      </c>
      <c r="D373" s="226" t="s">
        <v>3805</v>
      </c>
      <c r="E373" s="226" t="s">
        <v>3806</v>
      </c>
      <c r="F373" s="226" t="s">
        <v>3386</v>
      </c>
      <c r="G373" s="226" t="s">
        <v>3806</v>
      </c>
      <c r="H373" s="226" t="s">
        <v>3806</v>
      </c>
      <c r="I373" s="213" t="s">
        <v>4570</v>
      </c>
      <c r="J373" s="226" t="s">
        <v>3807</v>
      </c>
      <c r="K373" s="227" t="s">
        <v>4570</v>
      </c>
      <c r="L373" s="213" t="s">
        <v>5180</v>
      </c>
      <c r="M373" s="213" t="s">
        <v>4891</v>
      </c>
      <c r="N373" s="230" t="s">
        <v>4194</v>
      </c>
    </row>
    <row r="374" spans="1:14" s="226" customFormat="1">
      <c r="A374" s="226" t="s">
        <v>3012</v>
      </c>
      <c r="B374" s="226" t="s">
        <v>3808</v>
      </c>
      <c r="C374" s="226" t="s">
        <v>3809</v>
      </c>
      <c r="D374" s="226" t="s">
        <v>3810</v>
      </c>
      <c r="E374" s="226" t="s">
        <v>3811</v>
      </c>
      <c r="F374" s="226" t="s">
        <v>3527</v>
      </c>
      <c r="G374" s="226" t="s">
        <v>3812</v>
      </c>
      <c r="H374" s="226" t="s">
        <v>3811</v>
      </c>
      <c r="I374" s="213" t="s">
        <v>5508</v>
      </c>
      <c r="J374" s="226" t="s">
        <v>3813</v>
      </c>
      <c r="K374" s="227" t="s">
        <v>4571</v>
      </c>
      <c r="L374" s="213" t="s">
        <v>5181</v>
      </c>
      <c r="M374" s="213" t="s">
        <v>4892</v>
      </c>
      <c r="N374" s="230" t="s">
        <v>4195</v>
      </c>
    </row>
    <row r="375" spans="1:14" s="226" customFormat="1">
      <c r="A375" s="226" t="s">
        <v>3013</v>
      </c>
      <c r="B375" s="226" t="s">
        <v>3814</v>
      </c>
      <c r="C375" s="226" t="s">
        <v>3815</v>
      </c>
      <c r="D375" s="226" t="s">
        <v>3816</v>
      </c>
      <c r="E375" s="226" t="s">
        <v>3817</v>
      </c>
      <c r="F375" s="226" t="s">
        <v>3528</v>
      </c>
      <c r="G375" s="226" t="s">
        <v>3818</v>
      </c>
      <c r="H375" s="226" t="s">
        <v>3819</v>
      </c>
      <c r="I375" s="213" t="s">
        <v>5509</v>
      </c>
      <c r="J375" s="226" t="s">
        <v>3820</v>
      </c>
      <c r="K375" s="227" t="s">
        <v>4572</v>
      </c>
      <c r="L375" s="213" t="s">
        <v>5182</v>
      </c>
      <c r="M375" s="213" t="s">
        <v>4572</v>
      </c>
      <c r="N375" s="230" t="s">
        <v>4196</v>
      </c>
    </row>
    <row r="376" spans="1:14" s="226" customFormat="1">
      <c r="A376" s="226" t="s">
        <v>3014</v>
      </c>
      <c r="B376" s="226" t="s">
        <v>3826</v>
      </c>
      <c r="C376" s="226" t="s">
        <v>3825</v>
      </c>
      <c r="D376" s="226" t="s">
        <v>3824</v>
      </c>
      <c r="E376" s="226" t="s">
        <v>3822</v>
      </c>
      <c r="F376" s="226" t="s">
        <v>3527</v>
      </c>
      <c r="G376" s="226" t="s">
        <v>3823</v>
      </c>
      <c r="H376" s="226" t="s">
        <v>3822</v>
      </c>
      <c r="I376" s="213" t="s">
        <v>5510</v>
      </c>
      <c r="J376" s="226" t="s">
        <v>3821</v>
      </c>
      <c r="K376" s="227" t="s">
        <v>4573</v>
      </c>
      <c r="L376" s="213" t="s">
        <v>5183</v>
      </c>
      <c r="M376" s="213" t="s">
        <v>4573</v>
      </c>
      <c r="N376" s="230" t="s">
        <v>4197</v>
      </c>
    </row>
    <row r="377" spans="1:14">
      <c r="A377" s="226" t="s">
        <v>1553</v>
      </c>
      <c r="B377" s="226" t="s">
        <v>3180</v>
      </c>
      <c r="C377" s="226" t="s">
        <v>3180</v>
      </c>
      <c r="D377" s="225" t="s">
        <v>3181</v>
      </c>
      <c r="E377" s="225" t="s">
        <v>3182</v>
      </c>
      <c r="F377" s="226" t="s">
        <v>3183</v>
      </c>
      <c r="G377" s="225" t="s">
        <v>3184</v>
      </c>
      <c r="H377" s="225" t="s">
        <v>3185</v>
      </c>
      <c r="I377" s="213" t="s">
        <v>5184</v>
      </c>
      <c r="J377" s="226" t="s">
        <v>3186</v>
      </c>
      <c r="K377" s="227" t="s">
        <v>4574</v>
      </c>
      <c r="L377" s="213" t="s">
        <v>5184</v>
      </c>
      <c r="M377" s="213" t="s">
        <v>4893</v>
      </c>
      <c r="N377" s="230" t="s">
        <v>4198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pageSetUpPr fitToPage="1"/>
  </sheetPr>
  <dimension ref="A1:PW102"/>
  <sheetViews>
    <sheetView showGridLines="0" showZeros="0" zoomScaleNormal="100" workbookViewId="0">
      <selection activeCell="C8" sqref="C8:E8"/>
    </sheetView>
  </sheetViews>
  <sheetFormatPr baseColWidth="10" defaultColWidth="0" defaultRowHeight="0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9" width="8.73046875" style="1" hidden="1" customWidth="1"/>
    <col min="20" max="39" width="14.73046875" style="1" hidden="1" customWidth="1"/>
    <col min="40" max="16384" width="8.73046875" style="1" hidden="1"/>
  </cols>
  <sheetData>
    <row r="1" spans="1:17" ht="27.75">
      <c r="M1" s="2" t="str">
        <f>VLOOKUP("PREFA DACHSYSTEME",Sprachindex!A:Z,Info!$O$6,FALSE)</f>
        <v>PREFA DACHSYSTEME</v>
      </c>
    </row>
    <row r="2" spans="1:17" ht="27.75">
      <c r="D2" s="23"/>
      <c r="M2" s="2" t="str">
        <f>VLOOKUP("DACHPLATTE",Sprachindex!A:Z,Info!$O$6,FALSE)</f>
        <v>DACHPLATTE</v>
      </c>
    </row>
    <row r="3" spans="1:17" ht="15" customHeight="1">
      <c r="F3" s="123"/>
      <c r="G3" s="123"/>
      <c r="H3" s="123"/>
      <c r="I3" s="123"/>
      <c r="J3" s="123"/>
      <c r="K3" s="123"/>
      <c r="L3" s="123"/>
      <c r="M3" s="123"/>
      <c r="N3" s="123"/>
    </row>
    <row r="4" spans="1:17" ht="16.899999999999999">
      <c r="F4" s="123"/>
      <c r="G4" s="123"/>
      <c r="H4" s="123"/>
      <c r="I4" s="123"/>
      <c r="J4" s="152" t="str">
        <f>VLOOKUP("RETOURNIERUNG PER FAX:",Sprachindex!A:Z,Info!$O$6,FALSE)</f>
        <v>RETOURNIERUNG PER FAX:</v>
      </c>
      <c r="K4" s="260"/>
      <c r="L4" s="261"/>
      <c r="M4" s="262"/>
      <c r="N4" s="123"/>
      <c r="Q4" s="3"/>
    </row>
    <row r="5" spans="1:17" ht="16.899999999999999">
      <c r="F5" s="123"/>
      <c r="G5" s="123"/>
      <c r="H5" s="123"/>
      <c r="I5" s="123"/>
      <c r="J5" s="152" t="str">
        <f>VLOOKUP("ODER EMAIL:",Sprachindex!A:Z,Info!$O$6,FALSE)</f>
        <v>ODER EMAIL:</v>
      </c>
      <c r="K5" s="260"/>
      <c r="L5" s="261"/>
      <c r="M5" s="262"/>
      <c r="N5" s="123"/>
      <c r="Q5" s="3"/>
    </row>
    <row r="6" spans="1:17" ht="16.899999999999999">
      <c r="F6" s="123"/>
      <c r="G6" s="123"/>
      <c r="H6" s="123"/>
      <c r="I6" s="123"/>
      <c r="J6" s="152" t="str">
        <f>VLOOKUP("Datum:",Sprachindex!A:Z,Info!$O$6,FALSE)</f>
        <v>Datum:</v>
      </c>
      <c r="K6" s="260"/>
      <c r="L6" s="261"/>
      <c r="M6" s="262"/>
      <c r="N6" s="165">
        <v>1</v>
      </c>
      <c r="Q6" s="3"/>
    </row>
    <row r="7" spans="1:17" s="5" customFormat="1" ht="16.899999999999999">
      <c r="A7" s="151" t="str">
        <f>VLOOKUP("Firma / Besteller:",Sprachindex!A:Z,Info!$O$6,FALSE)</f>
        <v>Firma / Besteller:</v>
      </c>
      <c r="B7" s="1"/>
      <c r="C7" s="1"/>
      <c r="D7" s="1"/>
      <c r="E7" s="1"/>
      <c r="F7" s="123"/>
      <c r="G7" s="123"/>
      <c r="H7" s="123"/>
      <c r="I7" s="123"/>
      <c r="J7" s="123"/>
      <c r="K7" s="123"/>
      <c r="L7" s="123"/>
      <c r="M7" s="123"/>
      <c r="N7" s="124"/>
      <c r="O7" s="85"/>
      <c r="P7" s="86"/>
    </row>
    <row r="8" spans="1:17" s="5" customFormat="1" ht="15" customHeight="1">
      <c r="A8" s="1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57" t="str">
        <f>VLOOKUP("stucco",Sprachindex!A:Z,Info!$O$6,FALSE)</f>
        <v>stucco</v>
      </c>
      <c r="J8" s="122"/>
      <c r="K8" s="123"/>
      <c r="L8" s="122" t="str">
        <f>VLOOKUP("glatt",Sprachindex!A:Z,Info!$O$6,FALSE)</f>
        <v>glatt</v>
      </c>
      <c r="M8" s="123"/>
      <c r="N8" s="165"/>
      <c r="O8" s="87"/>
      <c r="P8" s="85"/>
      <c r="Q8" s="17"/>
    </row>
    <row r="9" spans="1:17" s="5" customFormat="1" ht="15" customHeight="1">
      <c r="A9" s="1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23"/>
      <c r="J9" s="124">
        <v>1</v>
      </c>
      <c r="K9" s="123"/>
      <c r="L9" s="123"/>
      <c r="M9" s="123"/>
      <c r="N9" s="124"/>
      <c r="O9" s="85"/>
      <c r="P9" s="85"/>
      <c r="Q9" s="17"/>
    </row>
    <row r="10" spans="1:17" s="5" customFormat="1" ht="15" customHeight="1">
      <c r="A10" s="1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4"/>
      <c r="O10" s="87"/>
      <c r="P10" s="85"/>
      <c r="Q10" s="17"/>
    </row>
    <row r="11" spans="1:17" s="5" customFormat="1" ht="15" customHeight="1">
      <c r="A11" s="1"/>
      <c r="B11" s="123"/>
      <c r="C11" s="123"/>
      <c r="D11" s="123"/>
      <c r="E11" s="123"/>
      <c r="F11" s="123"/>
      <c r="G11" s="123"/>
      <c r="H11" s="123"/>
      <c r="I11" s="127"/>
      <c r="J11" s="124">
        <v>1</v>
      </c>
      <c r="K11" s="123"/>
      <c r="L11" s="123"/>
      <c r="M11" s="123"/>
      <c r="N11" s="124"/>
      <c r="O11" s="85"/>
      <c r="P11" s="85"/>
    </row>
    <row r="12" spans="1:17" s="5" customFormat="1" ht="15" customHeight="1">
      <c r="A12" s="1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165"/>
      <c r="O12" s="88"/>
      <c r="P12" s="85"/>
      <c r="Q12" s="17"/>
    </row>
    <row r="13" spans="1:17" s="5" customFormat="1" ht="15" customHeight="1">
      <c r="A13" s="1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124"/>
      <c r="O13" s="85"/>
      <c r="P13" s="85"/>
      <c r="Q13" s="17"/>
    </row>
    <row r="14" spans="1:17" s="5" customFormat="1" ht="15" customHeight="1">
      <c r="A14" s="1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124"/>
      <c r="O14" s="85"/>
      <c r="P14" s="85"/>
      <c r="Q14" s="17"/>
    </row>
    <row r="15" spans="1:17" s="5" customFormat="1" ht="15" customHeight="1">
      <c r="A15" s="1"/>
      <c r="B15" s="123"/>
      <c r="C15" s="123"/>
      <c r="D15" s="123"/>
      <c r="E15" s="123"/>
      <c r="F15" s="123"/>
      <c r="G15" s="123" t="str">
        <f>VLOOKUP("01 P.10 braun",Sprachindex!A:Z,Info!$O$6,FALSE)</f>
        <v>01 P.10 braun</v>
      </c>
      <c r="H15" s="123"/>
      <c r="I15" s="123"/>
      <c r="J15" s="122" t="str">
        <f>VLOOKUP("07 P.10 hellgrau ",Sprachindex!A:Z,Info!$O$6,FALSE)</f>
        <v xml:space="preserve">07 P.10 hellgrau </v>
      </c>
      <c r="K15" s="123"/>
      <c r="L15" s="123"/>
      <c r="M15" s="123"/>
      <c r="N15" s="124"/>
      <c r="O15" s="85"/>
      <c r="P15" s="85"/>
    </row>
    <row r="16" spans="1:17" s="5" customFormat="1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P.10 anthrazit",Sprachindex!A:Z,Info!$O$6,FALSE)</f>
        <v>02 P.10 anthrazit</v>
      </c>
      <c r="H16" s="123"/>
      <c r="I16" s="123"/>
      <c r="J16" s="125" t="str">
        <f>VLOOKUP("11 P.10 nussbraun",Sprachindex!A:Z,Info!$O$6,FALSE)</f>
        <v>11 P.10 nussbraun</v>
      </c>
      <c r="K16" s="123"/>
      <c r="L16" s="123"/>
      <c r="M16" s="123"/>
      <c r="N16" s="124"/>
      <c r="O16" s="85"/>
      <c r="P16" s="86"/>
    </row>
    <row r="17" spans="1:39" s="5" customFormat="1" ht="15" customHeight="1">
      <c r="A17" s="1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P.10 schwarz",Sprachindex!A:Z,Info!$O$6,FALSE)</f>
        <v>03 P.10 schwarz</v>
      </c>
      <c r="H17" s="123"/>
      <c r="I17" s="123"/>
      <c r="J17" s="125" t="str">
        <f>VLOOKUP("43 P.10 steingrau",Sprachindex!A:Z,Info!$O$6,FALSE)</f>
        <v>43 P.10 steingrau</v>
      </c>
      <c r="K17" s="123"/>
      <c r="L17" s="123"/>
      <c r="M17" s="123"/>
      <c r="N17" s="160"/>
      <c r="O17" s="85"/>
      <c r="P17" s="85"/>
      <c r="Q17" s="17"/>
    </row>
    <row r="18" spans="1:39" s="5" customFormat="1" ht="15" customHeight="1">
      <c r="A18" s="1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P.10 ziegelrot",Sprachindex!A:Z,Info!$O$6,FALSE)</f>
        <v>04 P.10 ziegelrot</v>
      </c>
      <c r="H18" s="123"/>
      <c r="I18" s="123"/>
      <c r="J18" s="125" t="str">
        <f>VLOOKUP("13 naturblank",Sprachindex!A:Z,Info!$O$6,FALSE)</f>
        <v>13 naturblank</v>
      </c>
      <c r="K18" s="123"/>
      <c r="L18" s="123"/>
      <c r="M18" s="123"/>
      <c r="N18" s="124"/>
      <c r="O18" s="85"/>
      <c r="P18" s="85"/>
      <c r="Q18" s="17"/>
    </row>
    <row r="19" spans="1:39" s="5" customFormat="1" ht="15" customHeight="1">
      <c r="A19" s="1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P.10 oxydrot",Sprachindex!A:Z,Info!$O$6,FALSE)</f>
        <v>05 P.10 oxydrot</v>
      </c>
      <c r="H19" s="123"/>
      <c r="I19" s="123"/>
      <c r="J19" s="125"/>
      <c r="K19" s="123"/>
      <c r="L19" s="124"/>
      <c r="M19" s="123"/>
      <c r="N19" s="124"/>
      <c r="O19" s="85"/>
      <c r="P19" s="85"/>
      <c r="Q19" s="17"/>
    </row>
    <row r="20" spans="1:39" s="5" customFormat="1" ht="15" customHeight="1">
      <c r="A20" s="1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P.10 moosgrün",Sprachindex!A:Z,Info!$O$6,FALSE)</f>
        <v>06 P.10 moosgrün</v>
      </c>
      <c r="H20" s="123"/>
      <c r="I20" s="160" t="str">
        <f>VLOOKUP("Farbe:",Sprachindex!A:Z,Info!$O$6,FALSE)</f>
        <v>Farbe:</v>
      </c>
      <c r="J20" s="126"/>
      <c r="K20" s="126"/>
      <c r="L20" s="123"/>
      <c r="M20" s="123"/>
      <c r="N20" s="165"/>
      <c r="O20" s="85"/>
      <c r="P20" s="85"/>
      <c r="Q20" s="17"/>
    </row>
    <row r="21" spans="1:39" s="5" customFormat="1" ht="15" customHeight="1">
      <c r="A21" s="1"/>
      <c r="B21" s="127"/>
      <c r="C21" s="123"/>
      <c r="D21" s="123"/>
      <c r="E21" s="123"/>
      <c r="F21" s="123"/>
      <c r="G21" s="123"/>
      <c r="H21" s="123"/>
      <c r="I21" s="160"/>
      <c r="J21" s="123"/>
      <c r="K21" s="123"/>
      <c r="L21" s="123"/>
      <c r="M21" s="123"/>
      <c r="N21" s="124"/>
      <c r="O21" s="85"/>
      <c r="P21" s="85"/>
      <c r="Q21" s="17"/>
    </row>
    <row r="22" spans="1:39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123"/>
      <c r="G22" s="123"/>
      <c r="H22" s="123"/>
      <c r="I22" s="123"/>
      <c r="J22" s="123"/>
      <c r="K22" s="123"/>
      <c r="L22" s="123"/>
      <c r="M22" s="123"/>
      <c r="N22" s="123"/>
      <c r="T22" s="73" t="s">
        <v>85</v>
      </c>
      <c r="U22" s="16"/>
      <c r="V22" s="16"/>
      <c r="W22" s="16"/>
      <c r="X22" s="16"/>
      <c r="Y22" s="16"/>
      <c r="Z22" s="16"/>
      <c r="AA22" s="16"/>
      <c r="AB22" s="16"/>
      <c r="AC22" s="16"/>
      <c r="AD22" s="73" t="s">
        <v>84</v>
      </c>
      <c r="AE22" s="16"/>
      <c r="AF22" s="16"/>
      <c r="AG22" s="16"/>
      <c r="AH22" s="16"/>
      <c r="AI22" s="16"/>
      <c r="AJ22" s="16"/>
      <c r="AK22" s="16"/>
      <c r="AL22" s="16"/>
      <c r="AM22" s="74"/>
    </row>
    <row r="23" spans="1:39" ht="35.1" customHeight="1" thickBot="1">
      <c r="A23" s="128" t="str">
        <f>VLOOKUP("Menge",Sprachindex!A:Z,Info!$O$6,FALSE)</f>
        <v>Menge</v>
      </c>
      <c r="B23" s="207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O23" s="1"/>
      <c r="Q23" s="12"/>
      <c r="T23" s="75" t="s">
        <v>1554</v>
      </c>
      <c r="U23" s="75" t="s">
        <v>1555</v>
      </c>
      <c r="V23" s="75" t="s">
        <v>1556</v>
      </c>
      <c r="W23" s="75" t="s">
        <v>1557</v>
      </c>
      <c r="X23" s="75" t="s">
        <v>1558</v>
      </c>
      <c r="Y23" s="75" t="s">
        <v>1559</v>
      </c>
      <c r="Z23" s="75" t="s">
        <v>1560</v>
      </c>
      <c r="AA23" s="75" t="s">
        <v>1561</v>
      </c>
      <c r="AB23" s="75" t="s">
        <v>1562</v>
      </c>
      <c r="AC23" s="75" t="s">
        <v>1563</v>
      </c>
      <c r="AD23" s="75" t="s">
        <v>1554</v>
      </c>
      <c r="AE23" s="75" t="s">
        <v>1555</v>
      </c>
      <c r="AF23" s="75" t="s">
        <v>1556</v>
      </c>
      <c r="AG23" s="75" t="s">
        <v>1557</v>
      </c>
      <c r="AH23" s="75" t="s">
        <v>1558</v>
      </c>
      <c r="AI23" s="75" t="s">
        <v>1559</v>
      </c>
      <c r="AJ23" s="75" t="s">
        <v>1560</v>
      </c>
      <c r="AK23" s="75" t="s">
        <v>1561</v>
      </c>
      <c r="AL23" s="75" t="s">
        <v>1562</v>
      </c>
      <c r="AM23" s="75" t="s">
        <v>1563</v>
      </c>
    </row>
    <row r="24" spans="1:39" ht="32.1" customHeight="1">
      <c r="A24" s="58"/>
      <c r="B24" s="208" t="str">
        <f>VLOOKUP("m²",Sprachindex!A:Z,Info!$O$6,FALSE)</f>
        <v>m²</v>
      </c>
      <c r="C24" s="131"/>
      <c r="D24" s="132">
        <f>IF(AND($N$8=2,$N$20=1),T24,IF(AND($N$8=2,$N$20=4),U24,IF(AND($N$8=2,$N$20=5),V24,IF(AND($N$8=2,$N$20=11),W24,IF(AND($N$8=2,$N$20=7),X24,IF(AND($N$8=2,$N$20=3),Y24,IF(AND($N$8=2,$N$20=6),Z24,IF(AND($N$8=2,$N$20=9),AA24,IF(AND($N$8=2,$N$20=2),AB24,IF(AND($N$8=2,$N$20=8),AC24,IF(AND($N$8=1,$N$20=1),AD24,IF(AND($N$8=1,$N$20=1),AD24,IF(AND($N$8=1,$N$20=4),AE24,IF(AND($N$8=1,$N$20=5),AF24,IF(AND($N$8=1,$N$20=11),AG24,IF(AND($N$8=1,$N$20=7),AH24,IF(AND($N$8=1,$N$20=3),AI24,IF(AND($N$8=1,$N$20=6),AJ24,IF(AND($N$8=1,$N$20=9),AK24,IF(AND($N$8=1,$N$20=2),AL24,IF(AND($N$8=1,$N$20=8),AM24,0)))))))))))))))))))))</f>
        <v>0</v>
      </c>
      <c r="E24" s="289" t="str">
        <f>VLOOKUP("PREFA Dachplatte (600 x 420 mm, 40 Stk./Kart.) inkl. Rillennägel (28/30) und Patenthafte",Sprachindex!A:Z,Info!$O$6,FALSE)</f>
        <v>PREFA Dachplatte (600 x 420 mm, 40 Stk./Kart.) inkl. Rillennägel (28/30) und Patenthafte</v>
      </c>
      <c r="F24" s="290"/>
      <c r="G24" s="290"/>
      <c r="H24" s="290"/>
      <c r="I24" s="290"/>
      <c r="J24" s="290"/>
      <c r="K24" s="291"/>
      <c r="L24" s="133" t="str">
        <f>IF(A24=0,"",IF(N10=1,P24,Q24))</f>
        <v/>
      </c>
      <c r="M24" s="134"/>
      <c r="O24" s="1"/>
      <c r="P24" s="31"/>
      <c r="Q24" s="56" t="str">
        <f>ROUNDUP(A24/1,0)*1 &amp;" " &amp; Formeln!A122 &amp; "                                    (="&amp;ROUNDUP(A24/1,0)*4 &amp;" " &amp; Formeln!A123 &amp; ")"</f>
        <v>0 m²                                    (=0 STK)</v>
      </c>
      <c r="T24" s="72">
        <v>110700</v>
      </c>
      <c r="U24" s="72">
        <v>110701</v>
      </c>
      <c r="V24" s="72">
        <v>110702</v>
      </c>
      <c r="W24" s="72">
        <v>110703</v>
      </c>
      <c r="X24" s="72">
        <v>110704</v>
      </c>
      <c r="Y24" s="72">
        <v>110705</v>
      </c>
      <c r="Z24" s="72">
        <v>110706</v>
      </c>
      <c r="AA24" s="72">
        <v>110707</v>
      </c>
      <c r="AB24" s="72">
        <v>110708</v>
      </c>
      <c r="AC24" s="72">
        <v>591001</v>
      </c>
      <c r="AD24" s="72">
        <v>110710</v>
      </c>
      <c r="AE24" s="72">
        <v>110711</v>
      </c>
      <c r="AF24" s="72">
        <v>110712</v>
      </c>
      <c r="AG24" s="72">
        <v>110713</v>
      </c>
      <c r="AH24" s="72">
        <v>110714</v>
      </c>
      <c r="AI24" s="72">
        <v>110715</v>
      </c>
      <c r="AJ24" s="72">
        <v>110716</v>
      </c>
      <c r="AK24" s="72">
        <v>110717</v>
      </c>
      <c r="AL24" s="72">
        <v>110718</v>
      </c>
      <c r="AM24" s="72">
        <v>591000</v>
      </c>
    </row>
    <row r="25" spans="1:39" ht="32.1" customHeight="1">
      <c r="A25" s="29"/>
      <c r="B25" s="137" t="str">
        <f>VLOOKUP("lfm",Sprachindex!A:Z,Info!$O$6,FALSE)</f>
        <v>lfm</v>
      </c>
      <c r="C25" s="135"/>
      <c r="D25" s="136">
        <v>561002</v>
      </c>
      <c r="E25" s="264" t="str">
        <f>VLOOKUP("PREFA Saumstreifen braun, vorgelocht (1.806x150x1,20 mm)",Sprachindex!A:Z,Info!$O$6,FALSE)</f>
        <v>PREFA Saumstreifen braun, vorgelocht (1.806x150x1,20 mm)</v>
      </c>
      <c r="F25" s="265"/>
      <c r="G25" s="265"/>
      <c r="H25" s="265"/>
      <c r="I25" s="265"/>
      <c r="J25" s="265"/>
      <c r="K25" s="266"/>
      <c r="L25" s="137" t="str">
        <f t="shared" ref="L25:L56" si="0">IF(A25=0,"",IF($N$10=1,P25,Q25))</f>
        <v/>
      </c>
      <c r="M25" s="138"/>
      <c r="O25" s="1"/>
      <c r="P25" s="31"/>
      <c r="Q25" s="31" t="str">
        <f>ROUNDUP(A25/1.806,0)*1.806 &amp; " " &amp; Formeln!A124 &amp; "                     " &amp; "(="&amp;ROUNDUP(A25/1.806,0) &amp;" " &amp; Formeln!A123 &amp; ")"</f>
        <v>0 lfm                     (=0 STK)</v>
      </c>
    </row>
    <row r="26" spans="1:39" ht="32.1" customHeight="1">
      <c r="A26" s="29"/>
      <c r="B26" s="137" t="str">
        <f>VLOOKUP("lfm",Sprachindex!A:Z,Info!$O$6,FALSE)</f>
        <v>lfm</v>
      </c>
      <c r="C26" s="135"/>
      <c r="D26" s="136">
        <v>561003</v>
      </c>
      <c r="E26" s="264" t="str">
        <f>VLOOKUP("PREFA Saumstreifen gerillt (für Abtreppung 600 x 150 mm)",Sprachindex!A:Z,Info!$O$6,FALSE)</f>
        <v>PREFA Saumstreifen gerillt (für Abtreppung 600 x 150 mm)</v>
      </c>
      <c r="F26" s="265"/>
      <c r="G26" s="265"/>
      <c r="H26" s="265"/>
      <c r="I26" s="265"/>
      <c r="J26" s="265"/>
      <c r="K26" s="266"/>
      <c r="L26" s="137" t="str">
        <f t="shared" si="0"/>
        <v/>
      </c>
      <c r="M26" s="138"/>
      <c r="O26" s="1"/>
      <c r="P26" s="57"/>
      <c r="Q26" s="57" t="str">
        <f>ROUNDUP(A26/0.6,0)*0.6 &amp; " " &amp; Formeln!A124 &amp; "                                 " &amp; "(="&amp;ROUNDUP(A26/0.6,0) &amp;" " &amp; Formeln!A123 &amp; ")"</f>
        <v>0 lfm                                 (=0 STK)</v>
      </c>
    </row>
    <row r="27" spans="1:39" ht="32.1" customHeight="1">
      <c r="A27" s="29"/>
      <c r="B27" s="137" t="str">
        <f>VLOOKUP("Stk",Sprachindex!A:Z,Info!$O$6,FALSE)</f>
        <v>STK</v>
      </c>
      <c r="C27" s="135"/>
      <c r="D27" s="136">
        <v>505001</v>
      </c>
      <c r="E27" s="264" t="str">
        <f>VLOOKUP("PREFA Patenthaft für Dachplatte und Dachschindel",Sprachindex!A:Z,Info!$O$6,FALSE)</f>
        <v>PREFA Patenthaft für Dachplatte und Dachschindel</v>
      </c>
      <c r="F27" s="265"/>
      <c r="G27" s="265"/>
      <c r="H27" s="265"/>
      <c r="I27" s="265"/>
      <c r="J27" s="265"/>
      <c r="K27" s="266"/>
      <c r="L27" s="137" t="str">
        <f t="shared" si="0"/>
        <v/>
      </c>
      <c r="M27" s="138"/>
      <c r="O27" s="1"/>
      <c r="P27" s="11"/>
      <c r="Q27" s="11" t="str">
        <f>A27 &amp;" " &amp; VLOOKUP("Stk",Sprachindex!A:Z,Info!$O$6,FALSE)</f>
        <v xml:space="preserve"> STK</v>
      </c>
    </row>
    <row r="28" spans="1:39" ht="32.1" customHeight="1">
      <c r="A28" s="29"/>
      <c r="B28" s="137" t="str">
        <f>VLOOKUP("Karton",Sprachindex!A:Z,Info!$O$6,FALSE)</f>
        <v>Karton</v>
      </c>
      <c r="C28" s="135"/>
      <c r="D28" s="136">
        <v>505004</v>
      </c>
      <c r="E28" s="264" t="str">
        <f>VLOOKUP("Haftemagazin zum Nachladen für Bull Tack Nagler
80 Stk/Haftemagazin, 30 Mag/Karton",Sprachindex!A:Z,Info!$O$6,FALSE)</f>
        <v>Haftemagazin zum Nachladen für Bull Tack Nagler
80 Stk/Haftemagazin, 30 Mag/Karton</v>
      </c>
      <c r="F28" s="265"/>
      <c r="G28" s="265"/>
      <c r="H28" s="265"/>
      <c r="I28" s="265"/>
      <c r="J28" s="265"/>
      <c r="K28" s="266"/>
      <c r="L28" s="137" t="str">
        <f t="shared" si="0"/>
        <v/>
      </c>
      <c r="M28" s="138"/>
      <c r="O28" s="1"/>
      <c r="P28" s="57"/>
      <c r="Q28" s="57" t="str">
        <f>A28 &amp; " " &amp; Formeln!A125 &amp; "                    " &amp; "(="&amp;A28*2400 &amp;" " &amp; Formeln!A123 &amp; ")"</f>
        <v xml:space="preserve"> Karton                    (=0 STK)</v>
      </c>
    </row>
    <row r="29" spans="1:39" ht="32.1" customHeight="1">
      <c r="A29" s="29"/>
      <c r="B29" s="137" t="str">
        <f>VLOOKUP("kg",Sprachindex!A:Z,Info!$O$6,FALSE)</f>
        <v>kg</v>
      </c>
      <c r="C29" s="135"/>
      <c r="D29" s="136">
        <f>IF(H29=Formeln!A2,340392,IF(H29=Formeln!A3,340394,IF(H29=Formeln!A4,341392,0)))</f>
        <v>0</v>
      </c>
      <c r="E29" s="283" t="str">
        <f>VLOOKUP("PREFA Rillennagel verzinkt",Sprachindex!A:Z,Info!$O$6,FALSE)</f>
        <v>PREFA Rillennagel verzinkt</v>
      </c>
      <c r="F29" s="284"/>
      <c r="G29" s="284"/>
      <c r="H29" s="269"/>
      <c r="I29" s="270"/>
      <c r="J29" s="270"/>
      <c r="K29" s="271"/>
      <c r="L29" s="137" t="str">
        <f t="shared" si="0"/>
        <v/>
      </c>
      <c r="M29" s="138"/>
      <c r="O29" s="1"/>
      <c r="P29" s="57"/>
      <c r="Q29" s="57" t="str">
        <f>ROUNDUP(A29/2.5,0)*2.5 &amp; " " &amp; Formeln!A126 &amp; "                  " &amp; "(="&amp;ROUNDUP(A29/2.5,0)*2.5*R29 &amp;"" &amp; Formeln!A123 &amp; ")"</f>
        <v>0 kg                  (=0STK)</v>
      </c>
      <c r="R29" s="8">
        <f>IF(H29=Formeln!A2,570,IF(H29=Formeln!A3,480,IF(H29=Formeln!A4,380,0)))</f>
        <v>0</v>
      </c>
    </row>
    <row r="30" spans="1:39" ht="32.1" customHeight="1">
      <c r="A30" s="29"/>
      <c r="B30" s="137" t="str">
        <f>VLOOKUP("Karton",Sprachindex!A:Z,Info!$O$6,FALSE)</f>
        <v>Karton</v>
      </c>
      <c r="C30" s="135"/>
      <c r="D30" s="139">
        <f>IF(H30=Formeln!A6,341395,IF(H30=Formeln!A7,341396,IF(H30=Formeln!A8,341398,0)))</f>
        <v>0</v>
      </c>
      <c r="E30" s="283" t="str">
        <f>VLOOKUP("Nägel für Bull Tack Power Nagler",Sprachindex!A:Z,Info!$O$6,FALSE)</f>
        <v>Nägel für Bull Tack Power Nagler</v>
      </c>
      <c r="F30" s="284"/>
      <c r="G30" s="284"/>
      <c r="H30" s="269"/>
      <c r="I30" s="270"/>
      <c r="J30" s="270"/>
      <c r="K30" s="271"/>
      <c r="L30" s="137" t="str">
        <f t="shared" si="0"/>
        <v/>
      </c>
      <c r="M30" s="138"/>
      <c r="O30" s="1"/>
      <c r="P30" s="57"/>
      <c r="Q30" s="57" t="str">
        <f>A30 &amp; " " &amp; Formeln!A125 &amp; "        " &amp; "(="&amp;R30*A30 &amp;"" &amp; Formeln!A123 &amp; ")"</f>
        <v xml:space="preserve"> Karton        (=0STK)</v>
      </c>
      <c r="R30" s="8">
        <f>IF(H30=Formeln!A7,2400,3200)</f>
        <v>3200</v>
      </c>
    </row>
    <row r="31" spans="1:39" ht="32.1" customHeight="1">
      <c r="A31" s="29"/>
      <c r="B31" s="137" t="str">
        <f>VLOOKUP("lfm",Sprachindex!A:Z,Info!$O$6,FALSE)</f>
        <v>lfm</v>
      </c>
      <c r="C31" s="135"/>
      <c r="D31" s="136">
        <f>IF($N$20=1,T31,IF($N$20=4,U31,IF($N$20=5,V31,IF($N$20=11,W31,IF($N$20=7,X31,IF($N$20=3,Y31,IF($N$20=6,Z31,IF($N$20=9,AA31,IF($N$20=2,AB31,IF($N$20=8,AC31,0))))))))))</f>
        <v>0</v>
      </c>
      <c r="E31" s="264" t="str">
        <f>VLOOKUP("PREFA Einlaufblech glatt 230 × 2.000 × 0,7 mm",Sprachindex!A:Z,Info!$O$6,FALSE)</f>
        <v>PREFA Einlaufblech glatt 230 × 2.000 × 0,7 mm</v>
      </c>
      <c r="F31" s="265"/>
      <c r="G31" s="265"/>
      <c r="H31" s="265"/>
      <c r="I31" s="265"/>
      <c r="J31" s="265"/>
      <c r="K31" s="266"/>
      <c r="L31" s="137" t="str">
        <f t="shared" si="0"/>
        <v/>
      </c>
      <c r="M31" s="138"/>
      <c r="O31" s="1"/>
      <c r="P31" s="11"/>
      <c r="Q31" s="11" t="str">
        <f>ROUNDUP(A31/2,0)*2 &amp;" " &amp; VLOOKUP("lfm",Sprachindex!A:Z,Info!$O$6,FALSE)</f>
        <v>0 lfm</v>
      </c>
      <c r="T31" s="72">
        <v>563004</v>
      </c>
      <c r="U31" s="72">
        <v>563006</v>
      </c>
      <c r="V31" s="72">
        <v>563001</v>
      </c>
      <c r="W31" s="72">
        <v>563005</v>
      </c>
      <c r="Y31" s="72">
        <v>563007</v>
      </c>
      <c r="Z31" s="72">
        <v>563016</v>
      </c>
      <c r="AA31" s="72">
        <v>563011</v>
      </c>
      <c r="AB31" s="72">
        <v>563017</v>
      </c>
      <c r="AC31" s="72">
        <v>563002</v>
      </c>
    </row>
    <row r="32" spans="1:39" ht="32.1" customHeight="1">
      <c r="A32" s="29"/>
      <c r="B32" s="137" t="str">
        <f>VLOOKUP("lfm",Sprachindex!A:Z,Info!$O$6,FALSE)</f>
        <v>lfm</v>
      </c>
      <c r="C32" s="140"/>
      <c r="D32" s="141">
        <f>IF(H32=Formeln!A10,507400,IF(H32=Formeln!A11,507401,IF(H32=Formeln!A12,507410,IF(H32=Formeln!A13,507411,0))))</f>
        <v>0</v>
      </c>
      <c r="E32" s="264" t="str">
        <f>VLOOKUP("PREFA Lüftungsband",Sprachindex!A:Z,Info!$O$6,FALSE)</f>
        <v>PREFA Lüftungsband</v>
      </c>
      <c r="F32" s="265"/>
      <c r="G32" s="265"/>
      <c r="H32" s="269"/>
      <c r="I32" s="270"/>
      <c r="J32" s="270"/>
      <c r="K32" s="271"/>
      <c r="L32" s="137" t="str">
        <f t="shared" si="0"/>
        <v/>
      </c>
      <c r="M32" s="138"/>
      <c r="O32" s="1"/>
      <c r="P32" s="11"/>
      <c r="Q32" s="11" t="str">
        <f>ROUNDUP(A32/40,0)*40 &amp;" " &amp; VLOOKUP("lfm",Sprachindex!A:Z,Info!$O$6,FALSE)</f>
        <v>0 lfm</v>
      </c>
      <c r="T32" s="73" t="s">
        <v>85</v>
      </c>
      <c r="U32" s="16"/>
      <c r="V32" s="16"/>
      <c r="W32" s="16"/>
      <c r="X32" s="16"/>
      <c r="Y32" s="16"/>
      <c r="Z32" s="16"/>
      <c r="AA32" s="16"/>
      <c r="AB32" s="16"/>
      <c r="AC32" s="16"/>
      <c r="AD32" s="73" t="s">
        <v>84</v>
      </c>
      <c r="AE32" s="16"/>
      <c r="AF32" s="16"/>
      <c r="AG32" s="16"/>
      <c r="AH32" s="16"/>
      <c r="AI32" s="16"/>
      <c r="AJ32" s="16"/>
      <c r="AK32" s="16"/>
      <c r="AL32" s="16"/>
      <c r="AM32" s="74"/>
    </row>
    <row r="33" spans="1:439" ht="32.1" customHeight="1">
      <c r="A33" s="29"/>
      <c r="B33" s="137" t="str">
        <f>VLOOKUP("lfm",Sprachindex!A:Z,Info!$O$6,FALSE)</f>
        <v>lfm</v>
      </c>
      <c r="C33" s="135"/>
      <c r="D33" s="136">
        <v>507300</v>
      </c>
      <c r="E33" s="264" t="str">
        <f>VLOOKUP("PREFA Vogelschutzgitter braun/anthrazit (125x2.000x0,7mm)",Sprachindex!A:Z,Info!$O$6,FALSE)</f>
        <v>PREFA Vogelschutzgitter braun/anthrazit (125x2.000x0,7mm)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38"/>
      <c r="O33" s="1"/>
      <c r="P33" s="11"/>
      <c r="Q33" s="11" t="str">
        <f>ROUNDUP(A33/2,0)*2 &amp;" " &amp; VLOOKUP("lfm",Sprachindex!A:Z,Info!$O$6,FALSE)</f>
        <v>0 lfm</v>
      </c>
      <c r="T33" s="75" t="s">
        <v>1554</v>
      </c>
      <c r="U33" s="75" t="s">
        <v>1555</v>
      </c>
      <c r="V33" s="75" t="s">
        <v>1556</v>
      </c>
      <c r="W33" s="75" t="s">
        <v>1557</v>
      </c>
      <c r="X33" s="75" t="s">
        <v>1558</v>
      </c>
      <c r="Y33" s="75" t="s">
        <v>1559</v>
      </c>
      <c r="Z33" s="75" t="s">
        <v>1560</v>
      </c>
      <c r="AA33" s="75" t="s">
        <v>1561</v>
      </c>
      <c r="AB33" s="75" t="s">
        <v>1562</v>
      </c>
      <c r="AC33" s="75" t="s">
        <v>1563</v>
      </c>
      <c r="AD33" s="75" t="s">
        <v>1554</v>
      </c>
      <c r="AE33" s="75" t="s">
        <v>1555</v>
      </c>
      <c r="AF33" s="75" t="s">
        <v>1556</v>
      </c>
      <c r="AG33" s="75" t="s">
        <v>1557</v>
      </c>
      <c r="AH33" s="75" t="s">
        <v>1558</v>
      </c>
      <c r="AI33" s="75" t="s">
        <v>1559</v>
      </c>
      <c r="AJ33" s="75" t="s">
        <v>1560</v>
      </c>
      <c r="AK33" s="75" t="s">
        <v>1561</v>
      </c>
      <c r="AL33" s="75" t="s">
        <v>1562</v>
      </c>
      <c r="AM33" s="75" t="s">
        <v>1563</v>
      </c>
    </row>
    <row r="34" spans="1:439" ht="32.1" customHeight="1">
      <c r="A34" s="29"/>
      <c r="B34" s="137" t="str">
        <f>VLOOKUP("lfm",Sprachindex!A:Z,Info!$O$6,FALSE)</f>
        <v>lfm</v>
      </c>
      <c r="C34" s="135"/>
      <c r="D34" s="136">
        <f t="shared" ref="D34:D44" si="1">IF(AND($N$8=2,$N$20=1),T34,IF(AND($N$8=2,$N$20=4),U34,IF(AND($N$8=2,$N$20=5),V34,IF(AND($N$8=2,$N$20=11),W34,IF(AND($N$8=2,$N$20=7),X34,IF(AND($N$8=2,$N$20=3),Y34,IF(AND($N$8=2,$N$20=6),Z34,IF(AND($N$8=2,$N$20=9),AA34,IF(AND($N$8=2,$N$20=2),AB34,IF(AND($N$8=2,$N$20=8),AC34,IF(AND($N$8=1,$N$20=1),AD34,IF(AND($N$8=1,$N$20=1),AD34,IF(AND($N$8=1,$N$20=4),AE34,IF(AND($N$8=1,$N$20=5),AF34,IF(AND($N$8=1,$N$20=11),AG34,IF(AND($N$8=1,$N$20=7),AH34,IF(AND($N$8=1,$N$20=3),AI34,IF(AND($N$8=1,$N$20=6),AJ34,IF(AND($N$8=1,$N$20=9),AK34,IF(AND($N$8=1,$N$20=2),AL34,IF(AND($N$8=1,$N$20=8),AM34,0)))))))))))))))))))))</f>
        <v>0</v>
      </c>
      <c r="E34" s="264" t="str">
        <f>VLOOKUP("PREFA Ortgangstreifen (95 x 2.000 x 0,70 mm)",Sprachindex!A:Z,Info!$O$6,FALSE)</f>
        <v>PREFA Ortgangstreifen (95 x 2.000 x 0,70 mm)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38"/>
      <c r="O34" s="1"/>
      <c r="P34" s="11"/>
      <c r="Q34" s="11" t="str">
        <f>ROUNDUP(A34/2,0)*2 &amp;" " &amp; VLOOKUP("lfm",Sprachindex!A:Z,Info!$O$6,FALSE)</f>
        <v>0 lfm</v>
      </c>
      <c r="T34" s="72">
        <v>110500</v>
      </c>
      <c r="U34" s="72">
        <v>110501</v>
      </c>
      <c r="V34" s="72">
        <v>110502</v>
      </c>
      <c r="W34" s="72">
        <v>110503</v>
      </c>
      <c r="X34" s="72">
        <v>110504</v>
      </c>
      <c r="Y34" s="72">
        <v>110505</v>
      </c>
      <c r="Z34" s="72">
        <v>110506</v>
      </c>
      <c r="AA34" s="72">
        <v>110507</v>
      </c>
      <c r="AB34" s="72">
        <v>110508</v>
      </c>
      <c r="AC34" s="72">
        <v>564001</v>
      </c>
      <c r="AD34" s="72">
        <v>110510</v>
      </c>
      <c r="AE34" s="72">
        <v>110511</v>
      </c>
      <c r="AF34" s="72">
        <v>110512</v>
      </c>
      <c r="AG34" s="72">
        <v>110513</v>
      </c>
      <c r="AH34" s="72">
        <v>110514</v>
      </c>
      <c r="AI34" s="72">
        <v>110515</v>
      </c>
      <c r="AJ34" s="72">
        <v>110516</v>
      </c>
      <c r="AK34" s="72">
        <v>110517</v>
      </c>
      <c r="AL34" s="72">
        <v>110518</v>
      </c>
    </row>
    <row r="35" spans="1:439" ht="32.1" customHeight="1">
      <c r="A35" s="29"/>
      <c r="B35" s="137" t="str">
        <f>VLOOKUP("lfm",Sprachindex!A:Z,Info!$O$6,FALSE)</f>
        <v>lfm</v>
      </c>
      <c r="C35" s="135"/>
      <c r="D35" s="136">
        <f t="shared" si="1"/>
        <v>0</v>
      </c>
      <c r="E35" s="264" t="str">
        <f>VLOOKUP("PREFA Sicherheitskehle stucco (3.000 mm lang)",Sprachindex!A:Z,Info!$O$6,FALSE)</f>
        <v>PREFA Sicherheitskehle stucco (3.000 mm lang)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38"/>
      <c r="O35" s="1"/>
      <c r="P35" s="11"/>
      <c r="Q35" s="11" t="str">
        <f>ROUNDUP(A35/3,0)*3 &amp;" " &amp; VLOOKUP("lfm",Sprachindex!A:Z,Info!$O$6,FALSE)</f>
        <v>0 lfm</v>
      </c>
      <c r="T35" s="72">
        <v>110520</v>
      </c>
      <c r="U35" s="72">
        <v>110521</v>
      </c>
      <c r="V35" s="72">
        <v>110522</v>
      </c>
      <c r="W35" s="72">
        <v>110523</v>
      </c>
      <c r="X35" s="72">
        <v>110524</v>
      </c>
      <c r="Y35" s="72">
        <v>110525</v>
      </c>
      <c r="Z35" s="72">
        <v>110526</v>
      </c>
      <c r="AA35" s="72">
        <v>110527</v>
      </c>
      <c r="AB35" s="72">
        <v>110528</v>
      </c>
      <c r="AD35" s="72">
        <v>110530</v>
      </c>
      <c r="AE35" s="72">
        <v>110531</v>
      </c>
      <c r="AF35" s="72">
        <v>110532</v>
      </c>
      <c r="AG35" s="72">
        <v>110533</v>
      </c>
      <c r="AH35" s="72">
        <v>110534</v>
      </c>
      <c r="AI35" s="72">
        <v>110535</v>
      </c>
      <c r="AJ35" s="72">
        <v>110536</v>
      </c>
      <c r="AK35" s="72">
        <v>110537</v>
      </c>
      <c r="AL35" s="72">
        <v>110538</v>
      </c>
    </row>
    <row r="36" spans="1:439" ht="32.1" customHeight="1">
      <c r="A36" s="29"/>
      <c r="B36" s="137" t="str">
        <f>VLOOKUP("lfm",Sprachindex!A:Z,Info!$O$6,FALSE)</f>
        <v>lfm</v>
      </c>
      <c r="C36" s="135"/>
      <c r="D36" s="136">
        <f t="shared" si="1"/>
        <v>0</v>
      </c>
      <c r="E36" s="264" t="str">
        <f>VLOOKUP("PREFA Grat- und Firstreiter 500 x 1,00 mm stucco
inkl. Niro Schraube 4,5x45mm und Dichscheibe",Sprachindex!A:Z,Info!$O$6,FALSE)</f>
        <v>PREFA Grat- und Firstreiter 500 x 1,00 mm stucco
inkl. Niro Schraube 4,5x45mm und Dichscheibe</v>
      </c>
      <c r="F36" s="265"/>
      <c r="G36" s="265"/>
      <c r="H36" s="265"/>
      <c r="I36" s="265"/>
      <c r="J36" s="265"/>
      <c r="K36" s="266"/>
      <c r="L36" s="137" t="str">
        <f t="shared" si="0"/>
        <v/>
      </c>
      <c r="M36" s="138"/>
      <c r="O36" s="1"/>
      <c r="P36" s="11"/>
      <c r="Q36" s="11" t="str">
        <f>ROUNDUP(A36/1,0)*1 &amp;" " &amp; VLOOKUP("lfm",Sprachindex!A:Z,Info!$O$6,FALSE)</f>
        <v>0 lfm</v>
      </c>
      <c r="T36" s="72">
        <v>110340</v>
      </c>
      <c r="U36" s="72">
        <v>110341</v>
      </c>
      <c r="V36" s="72">
        <v>110342</v>
      </c>
      <c r="W36" s="72">
        <v>110343</v>
      </c>
      <c r="X36" s="72">
        <v>110344</v>
      </c>
      <c r="Y36" s="72">
        <v>110345</v>
      </c>
      <c r="Z36" s="72">
        <v>110346</v>
      </c>
      <c r="AA36" s="72">
        <v>110347</v>
      </c>
      <c r="AB36" s="72">
        <v>110348</v>
      </c>
      <c r="AC36" s="72">
        <v>567002</v>
      </c>
      <c r="AD36" s="72">
        <v>110350</v>
      </c>
      <c r="AE36" s="72">
        <v>110351</v>
      </c>
      <c r="AF36" s="72">
        <v>110352</v>
      </c>
      <c r="AG36" s="72">
        <v>110353</v>
      </c>
      <c r="AH36" s="72">
        <v>110354</v>
      </c>
      <c r="AI36" s="72">
        <v>110355</v>
      </c>
      <c r="AJ36" s="72">
        <v>110356</v>
      </c>
      <c r="AK36" s="72">
        <v>110357</v>
      </c>
      <c r="AL36" s="72">
        <v>110358</v>
      </c>
    </row>
    <row r="37" spans="1:439" ht="32.1" customHeight="1">
      <c r="A37" s="29"/>
      <c r="B37" s="137" t="str">
        <f>VLOOKUP("Stk",Sprachindex!A:Z,Info!$O$6,FALSE)</f>
        <v>STK</v>
      </c>
      <c r="C37" s="135"/>
      <c r="D37" s="136">
        <f t="shared" si="1"/>
        <v>0</v>
      </c>
      <c r="E37" s="264" t="str">
        <f>VLOOKUP("PREFA Grat-/Firstreiter Anfangs-/Endstück stucco",Sprachindex!A:Z,Info!$O$6,FALSE)</f>
        <v>PREFA Grat-/Firstreiter Anfangs-/Endstück stucco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38"/>
      <c r="O37" s="1"/>
      <c r="P37" s="11"/>
      <c r="Q37" s="11" t="str">
        <f>ROUNDUP(A37/1,0)*1 &amp;" " &amp; VLOOKUP("Stk",Sprachindex!A:Z,Info!$O$6,FALSE)</f>
        <v>0 STK</v>
      </c>
      <c r="T37" s="72">
        <v>110320</v>
      </c>
      <c r="U37" s="72">
        <v>110321</v>
      </c>
      <c r="V37" s="72">
        <v>110322</v>
      </c>
      <c r="W37" s="72">
        <v>110323</v>
      </c>
      <c r="X37" s="72">
        <v>110324</v>
      </c>
      <c r="Y37" s="72">
        <v>110325</v>
      </c>
      <c r="Z37" s="72">
        <v>110326</v>
      </c>
      <c r="AA37" s="72">
        <v>110327</v>
      </c>
      <c r="AB37" s="72">
        <v>110328</v>
      </c>
      <c r="AC37" s="72">
        <v>517150</v>
      </c>
      <c r="AD37" s="72">
        <v>110330</v>
      </c>
      <c r="AE37" s="72">
        <v>110331</v>
      </c>
      <c r="AF37" s="72">
        <v>110332</v>
      </c>
      <c r="AG37" s="72">
        <v>110333</v>
      </c>
      <c r="AH37" s="72">
        <v>110334</v>
      </c>
      <c r="AI37" s="72">
        <v>110335</v>
      </c>
      <c r="AJ37" s="72">
        <v>110336</v>
      </c>
      <c r="AK37" s="72">
        <v>110337</v>
      </c>
      <c r="AL37" s="72">
        <v>110338</v>
      </c>
      <c r="AM37" s="72">
        <v>517170</v>
      </c>
    </row>
    <row r="38" spans="1:439" ht="32.1" customHeight="1">
      <c r="A38" s="29"/>
      <c r="B38" s="137" t="str">
        <f>VLOOKUP("lfm",Sprachindex!A:Z,Info!$O$6,FALSE)</f>
        <v>lfm</v>
      </c>
      <c r="C38" s="135"/>
      <c r="D38" s="136">
        <f>IF(AND($N$8=2,$N$20=1),T38,IF(AND($N$8=2,$N$20=4),U38,IF(AND($N$8=2,$N$20=5),V38,IF(AND($N$8=2,$N$20=11),W38,IF(AND($N$8=2,$N$20=7),X38,IF(AND($N$8=2,$N$20=3),Y38,IF(AND($N$8=2,$N$20=6),Z38,IF(AND($N$8=2,$N$20=9),AA38,IF(AND($N$8=2,$N$20=2),AB38,IF(AND($N$8=2,$N$20=8),AC38,IF(AND($N$8=1,$N$20=1),AD38,IF(AND($N$8=1,$N$20=1),AD38,IF(AND($N$8=1,$N$20=4),AE38,IF(AND($N$8=1,$N$20=5),AF38,IF(AND($N$8=1,$N$20=11),AG38,IF(AND($N$8=1,$N$20=7),AH38,IF(AND($N$8=1,$N$20=3),AI38,IF(AND($N$8=1,$N$20=6),AJ38,IF(AND($N$8=1,$N$20=9),AK38,IF(AND($N$8=1,$N$20=2),AL38,IF(AND($N$8=1,$N$20=8),AM38,0)))))))))))))))))))))</f>
        <v>0</v>
      </c>
      <c r="E38" s="264" t="str">
        <f>VLOOKUP("PREFA Jet-Lüfter stucco (1.200mm) inkl. Niro Schr. u.Dichtsch.",Sprachindex!A:Z,Info!$O$6,FALSE)</f>
        <v>PREFA Jet-Lüfter stucco (1.200mm) inkl. Niro Schr. u.Dichtsch.</v>
      </c>
      <c r="F38" s="265"/>
      <c r="G38" s="265"/>
      <c r="H38" s="265"/>
      <c r="I38" s="265"/>
      <c r="J38" s="265"/>
      <c r="K38" s="266"/>
      <c r="L38" s="137" t="str">
        <f t="shared" si="0"/>
        <v/>
      </c>
      <c r="M38" s="138"/>
      <c r="O38" s="1"/>
      <c r="P38" s="11"/>
      <c r="Q38" s="11" t="str">
        <f>ROUNDUP(A38/1.2,0)*1.2 &amp;" " &amp; VLOOKUP("lfm",Sprachindex!A:Z,Info!$O$6,FALSE)</f>
        <v>0 lfm</v>
      </c>
      <c r="T38" s="72">
        <v>110640</v>
      </c>
      <c r="U38" s="72">
        <v>110641</v>
      </c>
      <c r="V38" s="72">
        <v>110642</v>
      </c>
      <c r="W38" s="72">
        <v>110643</v>
      </c>
      <c r="X38" s="72">
        <v>110644</v>
      </c>
      <c r="Y38" s="72">
        <v>110645</v>
      </c>
      <c r="Z38" s="72">
        <v>110646</v>
      </c>
      <c r="AA38" s="72">
        <v>110647</v>
      </c>
      <c r="AB38" s="72">
        <v>110648</v>
      </c>
      <c r="AC38" s="72">
        <v>570160</v>
      </c>
      <c r="AD38" s="72">
        <v>110650</v>
      </c>
      <c r="AE38" s="72">
        <v>110651</v>
      </c>
      <c r="AF38" s="72">
        <v>110652</v>
      </c>
      <c r="AG38" s="72">
        <v>110653</v>
      </c>
      <c r="AH38" s="72">
        <v>110654</v>
      </c>
      <c r="AI38" s="72">
        <v>110655</v>
      </c>
      <c r="AJ38" s="72">
        <v>110656</v>
      </c>
      <c r="AK38" s="72">
        <v>110657</v>
      </c>
      <c r="AL38" s="72">
        <v>110658</v>
      </c>
      <c r="AM38" s="72">
        <v>570140</v>
      </c>
    </row>
    <row r="39" spans="1:439" ht="32.1" customHeight="1">
      <c r="A39" s="29"/>
      <c r="B39" s="137" t="str">
        <f>VLOOKUP("lfm",Sprachindex!A:Z,Info!$O$6,FALSE)</f>
        <v>lfm</v>
      </c>
      <c r="C39" s="135"/>
      <c r="D39" s="136">
        <f>IF(AND($N$8=2,$N$20=1),T39,IF(AND($N$8=2,$N$20=4),U39,IF(AND($N$8=2,$N$20=5),V39,IF(AND($N$8=2,$N$20=11),W39,IF(AND($N$8=2,$N$20=7),X39,IF(AND($N$8=2,$N$20=3),Y39,IF(AND($N$8=2,$N$20=6),Z39,IF(AND($N$8=2,$N$20=9),AA39,IF(AND($N$8=2,$N$20=2),AB39,IF(AND($N$8=2,$N$20=8),AC39,IF(AND($N$8=1,$N$20=1),AD39,IF(AND($N$8=1,$N$20=1),AD39,IF(AND($N$8=1,$N$20=4),AE39,IF(AND($N$8=1,$N$20=5),AF39,IF(AND($N$8=1,$N$20=11),AG39,IF(AND($N$8=1,$N$20=7),AH39,IF(AND($N$8=1,$N$20=3),AI39,IF(AND($N$8=1,$N$20=6),AJ39,IF(AND($N$8=1,$N$20=9),AK39,IF(AND($N$8=1,$N$20=2),AL39,IF(AND($N$8=1,$N$20=8),AM39,0)))))))))))))))))))))</f>
        <v>0</v>
      </c>
      <c r="E39" s="264" t="str">
        <f>VLOOKUP("PREFA Jet-Lüfter stucco (3.000mm) inkl. Niro Schr. u.Dichtsch.",Sprachindex!A:Z,Info!$O$6,FALSE)</f>
        <v>PREFA Jet-Lüfter stucco (3.000mm) inkl. Niro Schr. u.Dichtsch.</v>
      </c>
      <c r="F39" s="265"/>
      <c r="G39" s="265"/>
      <c r="H39" s="265"/>
      <c r="I39" s="265"/>
      <c r="J39" s="265"/>
      <c r="K39" s="266"/>
      <c r="L39" s="137" t="str">
        <f t="shared" si="0"/>
        <v/>
      </c>
      <c r="M39" s="138"/>
      <c r="O39" s="1"/>
      <c r="P39" s="11"/>
      <c r="Q39" s="11" t="str">
        <f>ROUNDUP(A39/3,0)*3 &amp;" " &amp; VLOOKUP("lfm",Sprachindex!A:Z,Info!$O$6,FALSE)</f>
        <v>0 lfm</v>
      </c>
      <c r="T39" s="72">
        <v>110620</v>
      </c>
      <c r="U39" s="72">
        <v>110621</v>
      </c>
      <c r="V39" s="72">
        <v>110622</v>
      </c>
      <c r="W39" s="72">
        <v>110623</v>
      </c>
      <c r="X39" s="72">
        <v>110624</v>
      </c>
      <c r="Y39" s="72">
        <v>110625</v>
      </c>
      <c r="Z39" s="72">
        <v>110626</v>
      </c>
      <c r="AA39" s="72">
        <v>110627</v>
      </c>
      <c r="AB39" s="72">
        <v>110628</v>
      </c>
      <c r="AC39" s="72">
        <v>570040</v>
      </c>
      <c r="AD39" s="72">
        <v>110630</v>
      </c>
      <c r="AE39" s="72">
        <v>110631</v>
      </c>
      <c r="AF39" s="72">
        <v>110632</v>
      </c>
      <c r="AG39" s="72">
        <v>110633</v>
      </c>
      <c r="AH39" s="72">
        <v>110634</v>
      </c>
      <c r="AI39" s="72">
        <v>110635</v>
      </c>
      <c r="AJ39" s="72">
        <v>110636</v>
      </c>
      <c r="AK39" s="72">
        <v>110637</v>
      </c>
      <c r="AL39" s="72">
        <v>110638</v>
      </c>
      <c r="AM39" s="72">
        <v>570060</v>
      </c>
    </row>
    <row r="40" spans="1:439" ht="32.1" customHeight="1">
      <c r="A40" s="29"/>
      <c r="B40" s="137" t="str">
        <f>VLOOKUP("Stk",Sprachindex!A:Z,Info!$O$6,FALSE)</f>
        <v>STK</v>
      </c>
      <c r="C40" s="135"/>
      <c r="D40" s="136">
        <f t="shared" si="1"/>
        <v>0</v>
      </c>
      <c r="E40" s="264" t="str">
        <f>VLOOKUP("PREFA Jet-Lüfter-Endstück stucco",Sprachindex!A:Z,Info!$O$6,FALSE)</f>
        <v>PREFA Jet-Lüfter-Endstück stucco</v>
      </c>
      <c r="F40" s="265"/>
      <c r="G40" s="265"/>
      <c r="H40" s="265"/>
      <c r="I40" s="265"/>
      <c r="J40" s="265"/>
      <c r="K40" s="266"/>
      <c r="L40" s="137" t="str">
        <f t="shared" si="0"/>
        <v/>
      </c>
      <c r="M40" s="138"/>
      <c r="O40" s="1"/>
      <c r="P40" s="11"/>
      <c r="Q40" s="11" t="str">
        <f>ROUNDUP(A40/1,0)*1 &amp;" " &amp; VLOOKUP("Stk",Sprachindex!A:Z,Info!$O$6,FALSE)</f>
        <v>0 STK</v>
      </c>
      <c r="T40" s="72">
        <v>110600</v>
      </c>
      <c r="U40" s="72">
        <v>110601</v>
      </c>
      <c r="V40" s="72">
        <v>110602</v>
      </c>
      <c r="W40" s="72">
        <v>110603</v>
      </c>
      <c r="X40" s="72">
        <v>110604</v>
      </c>
      <c r="Y40" s="72">
        <v>110605</v>
      </c>
      <c r="Z40" s="72">
        <v>110606</v>
      </c>
      <c r="AA40" s="72">
        <v>110607</v>
      </c>
      <c r="AB40" s="72">
        <v>110608</v>
      </c>
      <c r="AC40" s="72">
        <v>510030</v>
      </c>
      <c r="AD40" s="72">
        <v>110610</v>
      </c>
      <c r="AE40" s="72">
        <v>110611</v>
      </c>
      <c r="AF40" s="72">
        <v>110612</v>
      </c>
      <c r="AG40" s="72">
        <v>110613</v>
      </c>
      <c r="AH40" s="72">
        <v>110614</v>
      </c>
      <c r="AI40" s="72">
        <v>110615</v>
      </c>
      <c r="AJ40" s="72">
        <v>110616</v>
      </c>
      <c r="AK40" s="72">
        <v>110617</v>
      </c>
      <c r="AL40" s="72">
        <v>110618</v>
      </c>
      <c r="AM40" s="72">
        <v>510060</v>
      </c>
    </row>
    <row r="41" spans="1:439" ht="32.1" customHeight="1">
      <c r="A41" s="29"/>
      <c r="B41" s="137" t="str">
        <f>VLOOKUP("Stk",Sprachindex!A:Z,Info!$O$6,FALSE)</f>
        <v>STK</v>
      </c>
      <c r="C41" s="135"/>
      <c r="D41" s="136">
        <f>IF(H41=Formeln!A15,IF($N$20=1,T41,IF($N$20=4,U41,IF($N$20=5,V41,IF($N$20=11,W41,IF($N$20=7,X41,IF($N$20=3,Y41,IF($N$20=6,Z41,IF($N$20=9,AA41,IF($N$20=2,AB41,IF($N$20=8,AC41,0)))))))))),IF(H41=Formeln!A16,AC41,0))</f>
        <v>0</v>
      </c>
      <c r="E41" s="264" t="str">
        <f>VLOOKUP("Niro-Schraube mit Dichtscheibe für Grat-/Firstreiter",Sprachindex!A:Z,Info!$O$6,FALSE)</f>
        <v>Niro-Schraube mit Dichtscheibe für Grat-/Firstreiter</v>
      </c>
      <c r="F41" s="265"/>
      <c r="G41" s="265"/>
      <c r="H41" s="269"/>
      <c r="I41" s="270"/>
      <c r="J41" s="270"/>
      <c r="K41" s="271"/>
      <c r="L41" s="137" t="str">
        <f t="shared" si="0"/>
        <v/>
      </c>
      <c r="M41" s="138"/>
      <c r="O41" s="1"/>
      <c r="P41" s="11"/>
      <c r="Q41" s="11" t="str">
        <f>ROUNDUP(A41/250,0)*250 &amp;" " &amp; VLOOKUP("Stk",Sprachindex!A:Z,Info!$O$6,FALSE)</f>
        <v>0 STK</v>
      </c>
      <c r="T41" s="72">
        <v>340001</v>
      </c>
      <c r="U41" s="72">
        <v>340004</v>
      </c>
      <c r="V41" s="72">
        <v>340003</v>
      </c>
      <c r="W41" s="72">
        <v>340104</v>
      </c>
      <c r="Y41" s="72">
        <v>340002</v>
      </c>
      <c r="Z41" s="72">
        <v>340016</v>
      </c>
      <c r="AA41" s="72">
        <v>340011</v>
      </c>
      <c r="AC41" s="72">
        <v>340103</v>
      </c>
    </row>
    <row r="42" spans="1:439" ht="32.1" customHeight="1">
      <c r="A42" s="29"/>
      <c r="B42" s="137" t="str">
        <f>VLOOKUP("Stk",Sprachindex!A:Z,Info!$O$6,FALSE)</f>
        <v>STK</v>
      </c>
      <c r="C42" s="135"/>
      <c r="D42" s="136">
        <f>IF(H42=Formeln!A18,IF($N$20=1,T42,IF($N$20=4,U42,IF($N$20=5,V42,IF($N$20=11,W42,IF($N$20=7,X42,IF($N$20=3,Y42,IF($N$20=6,Z42,IF($N$20=9,AA42,IF($N$20=2,AB42,IF($N$20=8,AC42,0)))))))))),IF(H42=Formeln!A19,AC42,0))</f>
        <v>0</v>
      </c>
      <c r="E42" s="264" t="str">
        <f>VLOOKUP("Niro-Schraube mit Dichtscheibe für Jet-Lüfter",Sprachindex!A:Z,Info!$O$6,FALSE)</f>
        <v>Niro-Schraube mit Dichtscheibe für Jet-Lüfter</v>
      </c>
      <c r="F42" s="265"/>
      <c r="G42" s="265"/>
      <c r="H42" s="269"/>
      <c r="I42" s="270"/>
      <c r="J42" s="270"/>
      <c r="K42" s="271"/>
      <c r="L42" s="137" t="str">
        <f t="shared" si="0"/>
        <v/>
      </c>
      <c r="M42" s="138"/>
      <c r="O42" s="1"/>
      <c r="P42" s="11"/>
      <c r="Q42" s="11" t="str">
        <f>ROUNDUP(A42/100,0)*100 &amp;" " &amp; VLOOKUP("Stk",Sprachindex!A:Z,Info!$O$6,FALSE)</f>
        <v>0 STK</v>
      </c>
      <c r="T42" s="72">
        <v>340020</v>
      </c>
      <c r="U42" s="72">
        <v>340024</v>
      </c>
      <c r="V42" s="72">
        <v>340022</v>
      </c>
      <c r="W42" s="72">
        <v>340021</v>
      </c>
      <c r="Y42" s="72">
        <v>340025</v>
      </c>
      <c r="Z42" s="72">
        <v>340032</v>
      </c>
      <c r="AA42" s="72">
        <v>340027</v>
      </c>
      <c r="AC42" s="72">
        <v>340106</v>
      </c>
    </row>
    <row r="43" spans="1:439" ht="32.1" customHeight="1">
      <c r="A43" s="29"/>
      <c r="B43" s="137" t="str">
        <f>VLOOKUP("Stk",Sprachindex!A:Z,Info!$O$6,FALSE)</f>
        <v>STK</v>
      </c>
      <c r="C43" s="135"/>
      <c r="D43" s="136">
        <f>IF($N$20=1,T43,IF($N$20=4,U43,IF($N$20=5,V43,IF($N$20=11,W43,IF($N$20=7,X43,IF($N$20=3,Y43,IF($N$20=6,Z43,IF($N$20=9,AA43,IF($N$20=2,AB43,IF($N$20=8,AC43,0))))))))))</f>
        <v>0</v>
      </c>
      <c r="E43" s="264" t="str">
        <f>VLOOKUP("PREFA Froschmaulluken-Haube zum aufnieten glatt
Lüftungsquerschnitt ca. 30 cm²",Sprachindex!A:Z,Info!$O$6,FALSE)</f>
        <v>PREFA Froschmaulluken-Haube zum aufnieten glatt
Lüftungsquerschnitt ca. 30 cm²</v>
      </c>
      <c r="F43" s="265"/>
      <c r="G43" s="265"/>
      <c r="H43" s="265"/>
      <c r="I43" s="265"/>
      <c r="J43" s="265"/>
      <c r="K43" s="266"/>
      <c r="L43" s="137" t="str">
        <f t="shared" si="0"/>
        <v/>
      </c>
      <c r="M43" s="138"/>
      <c r="O43" s="1"/>
      <c r="P43" s="11"/>
      <c r="Q43" s="11" t="str">
        <f>ROUNDUP(A43/1,0)*1 &amp;" " &amp; VLOOKUP("Stk",Sprachindex!A:Z,Info!$O$6,FALSE)</f>
        <v>0 STK</v>
      </c>
      <c r="T43" s="72">
        <v>110100</v>
      </c>
      <c r="U43" s="72">
        <v>110101</v>
      </c>
      <c r="V43" s="72">
        <v>110102</v>
      </c>
      <c r="W43" s="72">
        <v>110103</v>
      </c>
      <c r="X43" s="72">
        <v>110104</v>
      </c>
      <c r="Y43" s="72">
        <v>110105</v>
      </c>
      <c r="Z43" s="72">
        <v>110106</v>
      </c>
      <c r="AA43" s="72">
        <v>110107</v>
      </c>
      <c r="AB43" s="72">
        <v>110108</v>
      </c>
      <c r="AC43" s="72">
        <v>512014</v>
      </c>
    </row>
    <row r="44" spans="1:439" ht="32.1" customHeight="1">
      <c r="A44" s="29"/>
      <c r="B44" s="137" t="str">
        <f>VLOOKUP("Stk",Sprachindex!A:Z,Info!$O$6,FALSE)</f>
        <v>STK</v>
      </c>
      <c r="C44" s="135"/>
      <c r="D44" s="136">
        <f t="shared" si="1"/>
        <v>0</v>
      </c>
      <c r="E44" s="264" t="str">
        <f>VLOOKUP("PREFA Froschmaulluke für Dachplatte 300x420 mm
Lüftungsquerschnitt ca. 30 cm²",Sprachindex!A:Z,Info!$O$6,FALSE)</f>
        <v>PREFA Froschmaulluke für Dachplatte 300x420 mm
Lüftungsquerschnitt ca. 30 cm²</v>
      </c>
      <c r="F44" s="265"/>
      <c r="G44" s="265"/>
      <c r="H44" s="265"/>
      <c r="I44" s="265"/>
      <c r="J44" s="265"/>
      <c r="K44" s="266"/>
      <c r="L44" s="137" t="str">
        <f t="shared" si="0"/>
        <v/>
      </c>
      <c r="M44" s="138"/>
      <c r="O44" s="1"/>
      <c r="P44" s="11"/>
      <c r="Q44" s="11" t="str">
        <f>ROUNDUP(A44/1,0)*1 &amp;" " &amp; VLOOKUP("Stk",Sprachindex!A:Z,Info!$O$6,FALSE)</f>
        <v>0 STK</v>
      </c>
      <c r="T44" s="72">
        <v>110110</v>
      </c>
      <c r="U44" s="72">
        <v>110111</v>
      </c>
      <c r="V44" s="72">
        <v>110112</v>
      </c>
      <c r="W44" s="72">
        <v>110113</v>
      </c>
      <c r="X44" s="72">
        <v>110114</v>
      </c>
      <c r="Y44" s="72">
        <v>110115</v>
      </c>
      <c r="Z44" s="72">
        <v>110116</v>
      </c>
      <c r="AA44" s="72">
        <v>110117</v>
      </c>
      <c r="AB44" s="72">
        <v>110118</v>
      </c>
      <c r="AC44" s="72">
        <v>512001</v>
      </c>
      <c r="AD44" s="72">
        <v>110120</v>
      </c>
      <c r="AE44" s="72">
        <v>110121</v>
      </c>
      <c r="AF44" s="72">
        <v>110122</v>
      </c>
      <c r="AG44" s="72">
        <v>110123</v>
      </c>
      <c r="AH44" s="72">
        <v>110124</v>
      </c>
      <c r="AI44" s="72">
        <v>110125</v>
      </c>
      <c r="AJ44" s="72">
        <v>110126</v>
      </c>
      <c r="AK44" s="72">
        <v>110127</v>
      </c>
      <c r="AL44" s="72">
        <v>110128</v>
      </c>
      <c r="AM44" s="72">
        <v>512018</v>
      </c>
    </row>
    <row r="45" spans="1:439" ht="32.1" customHeight="1">
      <c r="A45" s="29"/>
      <c r="B45" s="137" t="str">
        <f>VLOOKUP("Stk",Sprachindex!A:Z,Info!$O$6,FALSE)</f>
        <v>STK</v>
      </c>
      <c r="C45" s="135"/>
      <c r="D45" s="142">
        <v>537730</v>
      </c>
      <c r="E45" s="264" t="str">
        <f>VLOOKUP("PREFA Dachluke (600x600 mm) komplett mit Holzrahmen",Sprachindex!A:Z,Info!$O$6,FALSE)</f>
        <v>PREFA Dachluke (600x600 mm) komplett mit Holzrahmen</v>
      </c>
      <c r="F45" s="265"/>
      <c r="G45" s="265"/>
      <c r="H45" s="265"/>
      <c r="I45" s="143"/>
      <c r="J45" s="143"/>
      <c r="K45" s="144"/>
      <c r="L45" s="137" t="str">
        <f t="shared" si="0"/>
        <v/>
      </c>
      <c r="M45" s="138"/>
      <c r="O45" s="1"/>
      <c r="P45" s="11"/>
      <c r="Q45" s="11" t="str">
        <f>ROUNDUP(A45/1,0)*1 &amp;" " &amp; VLOOKUP("Stk",Sprachindex!A:Z,Info!$O$6,FALSE)</f>
        <v>0 STK</v>
      </c>
      <c r="T45" s="75" t="s">
        <v>1554</v>
      </c>
      <c r="U45" s="75" t="s">
        <v>1555</v>
      </c>
      <c r="V45" s="75" t="s">
        <v>1556</v>
      </c>
      <c r="W45" s="75" t="s">
        <v>1557</v>
      </c>
      <c r="X45" s="75" t="s">
        <v>1558</v>
      </c>
      <c r="Y45" s="75" t="s">
        <v>1559</v>
      </c>
      <c r="Z45" s="75" t="s">
        <v>1560</v>
      </c>
      <c r="AA45" s="75" t="s">
        <v>1561</v>
      </c>
      <c r="AB45" s="75" t="s">
        <v>1562</v>
      </c>
      <c r="AC45" s="75" t="s">
        <v>1563</v>
      </c>
      <c r="AD45" s="75" t="s">
        <v>1554</v>
      </c>
      <c r="AE45" s="75" t="s">
        <v>1555</v>
      </c>
      <c r="AF45" s="75" t="s">
        <v>1556</v>
      </c>
      <c r="AG45" s="75" t="s">
        <v>1557</v>
      </c>
      <c r="AH45" s="75" t="s">
        <v>1558</v>
      </c>
      <c r="AI45" s="75" t="s">
        <v>1559</v>
      </c>
      <c r="AJ45" s="75" t="s">
        <v>1560</v>
      </c>
      <c r="AK45" s="75" t="s">
        <v>1561</v>
      </c>
      <c r="AL45" s="75" t="s">
        <v>1562</v>
      </c>
      <c r="AM45" s="75" t="s">
        <v>1563</v>
      </c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79"/>
      <c r="GE45" s="79"/>
      <c r="GF45" s="79"/>
      <c r="GG45" s="79"/>
      <c r="GH45" s="79"/>
      <c r="GI45" s="79"/>
      <c r="GJ45" s="79"/>
      <c r="GK45" s="79"/>
      <c r="GL45" s="79"/>
      <c r="GM45" s="79"/>
      <c r="GN45" s="79"/>
      <c r="GO45" s="79"/>
      <c r="GP45" s="79"/>
      <c r="GQ45" s="79"/>
      <c r="GR45" s="79"/>
      <c r="GS45" s="79"/>
      <c r="GT45" s="79"/>
      <c r="GU45" s="79"/>
      <c r="GV45" s="79"/>
      <c r="GW45" s="79"/>
      <c r="GX45" s="79"/>
      <c r="GY45" s="79"/>
      <c r="GZ45" s="79"/>
      <c r="HA45" s="79"/>
      <c r="HB45" s="79"/>
      <c r="HC45" s="79"/>
      <c r="HD45" s="7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  <c r="IQ45" s="79"/>
      <c r="IR45" s="79"/>
      <c r="IS45" s="79"/>
      <c r="IT45" s="79"/>
      <c r="IU45" s="79"/>
      <c r="IV45" s="79"/>
      <c r="IW45" s="79"/>
      <c r="IX45" s="79"/>
      <c r="IY45" s="79"/>
      <c r="IZ45" s="79"/>
      <c r="JA45" s="79"/>
      <c r="JB45" s="79"/>
      <c r="JC45" s="79"/>
      <c r="JD45" s="79"/>
      <c r="JE45" s="79"/>
      <c r="JF45" s="79"/>
      <c r="JG45" s="79"/>
      <c r="JH45" s="79"/>
      <c r="JI45" s="79"/>
      <c r="JJ45" s="79"/>
      <c r="JK45" s="79"/>
      <c r="JL45" s="79"/>
      <c r="JM45" s="79"/>
      <c r="JN45" s="79"/>
      <c r="JO45" s="79"/>
      <c r="JP45" s="79"/>
      <c r="JQ45" s="79"/>
      <c r="JR45" s="79"/>
      <c r="JS45" s="79"/>
      <c r="JT45" s="79"/>
      <c r="JU45" s="79"/>
      <c r="JV45" s="79"/>
      <c r="JW45" s="79"/>
      <c r="JX45" s="79"/>
      <c r="JY45" s="79"/>
      <c r="JZ45" s="79"/>
      <c r="KA45" s="79"/>
      <c r="KB45" s="79"/>
      <c r="KC45" s="79"/>
      <c r="KD45" s="79"/>
      <c r="KE45" s="79"/>
      <c r="KF45" s="79"/>
      <c r="KG45" s="79"/>
      <c r="KH45" s="79"/>
      <c r="KI45" s="79"/>
      <c r="KJ45" s="79"/>
      <c r="KK45" s="79"/>
      <c r="KL45" s="79"/>
      <c r="KM45" s="79"/>
      <c r="KN45" s="79"/>
      <c r="KO45" s="79"/>
      <c r="KP45" s="79"/>
      <c r="KQ45" s="79"/>
      <c r="KR45" s="79"/>
      <c r="KS45" s="79"/>
      <c r="KT45" s="79"/>
      <c r="KU45" s="79"/>
      <c r="KV45" s="79"/>
      <c r="KW45" s="79"/>
      <c r="KX45" s="79"/>
      <c r="KY45" s="79"/>
      <c r="KZ45" s="79"/>
      <c r="LA45" s="79"/>
      <c r="LB45" s="79"/>
      <c r="LC45" s="79"/>
      <c r="LD45" s="79"/>
      <c r="LE45" s="79"/>
      <c r="LF45" s="79"/>
      <c r="LG45" s="79"/>
      <c r="LH45" s="79"/>
      <c r="LI45" s="79"/>
      <c r="LJ45" s="79"/>
      <c r="LK45" s="79"/>
      <c r="LL45" s="79"/>
      <c r="LM45" s="79"/>
      <c r="LN45" s="79"/>
      <c r="LO45" s="79"/>
      <c r="LP45" s="79"/>
      <c r="LQ45" s="79"/>
      <c r="LR45" s="79"/>
      <c r="LS45" s="79"/>
      <c r="LT45" s="79"/>
      <c r="LU45" s="79"/>
      <c r="LV45" s="79"/>
      <c r="LW45" s="79"/>
      <c r="LX45" s="79"/>
      <c r="LY45" s="79"/>
      <c r="LZ45" s="79"/>
      <c r="MA45" s="79"/>
      <c r="MB45" s="79"/>
      <c r="MC45" s="79"/>
      <c r="MD45" s="79"/>
      <c r="ME45" s="79"/>
      <c r="MF45" s="79"/>
      <c r="MG45" s="79"/>
      <c r="MH45" s="79"/>
      <c r="MI45" s="79"/>
      <c r="MJ45" s="79"/>
      <c r="MK45" s="79"/>
      <c r="ML45" s="79"/>
      <c r="MM45" s="79"/>
      <c r="MN45" s="79"/>
      <c r="MO45" s="79"/>
      <c r="MP45" s="79"/>
      <c r="MQ45" s="79"/>
      <c r="MR45" s="79"/>
      <c r="MS45" s="79"/>
      <c r="MT45" s="79"/>
      <c r="MU45" s="79"/>
      <c r="MV45" s="79"/>
      <c r="MW45" s="79"/>
      <c r="MX45" s="79"/>
      <c r="MY45" s="79"/>
      <c r="MZ45" s="79"/>
      <c r="NA45" s="79"/>
      <c r="NB45" s="79"/>
      <c r="NC45" s="79"/>
      <c r="ND45" s="79"/>
      <c r="NE45" s="79"/>
      <c r="NF45" s="79"/>
      <c r="NG45" s="79"/>
      <c r="NH45" s="79"/>
      <c r="NI45" s="79"/>
      <c r="NJ45" s="79"/>
      <c r="NK45" s="79"/>
      <c r="NL45" s="79"/>
      <c r="NM45" s="79"/>
      <c r="NN45" s="79"/>
      <c r="NO45" s="79"/>
      <c r="NP45" s="79"/>
      <c r="NQ45" s="79"/>
      <c r="NR45" s="79"/>
      <c r="NS45" s="79"/>
      <c r="NT45" s="79"/>
      <c r="NU45" s="79"/>
      <c r="NV45" s="79"/>
      <c r="NW45" s="79"/>
      <c r="NX45" s="79"/>
      <c r="NY45" s="79"/>
      <c r="NZ45" s="79"/>
      <c r="OA45" s="79"/>
      <c r="OB45" s="79"/>
      <c r="OC45" s="79"/>
      <c r="OD45" s="79"/>
      <c r="OE45" s="79"/>
      <c r="OF45" s="79"/>
      <c r="OG45" s="79"/>
      <c r="OH45" s="79"/>
      <c r="OI45" s="79"/>
      <c r="OJ45" s="79"/>
      <c r="OK45" s="79"/>
      <c r="OL45" s="79"/>
      <c r="OM45" s="79"/>
      <c r="ON45" s="79"/>
      <c r="OO45" s="79"/>
      <c r="OP45" s="79"/>
      <c r="OQ45" s="79"/>
      <c r="OR45" s="79"/>
      <c r="OS45" s="79"/>
      <c r="OT45" s="79"/>
      <c r="OU45" s="79"/>
      <c r="OV45" s="79"/>
      <c r="OW45" s="79"/>
      <c r="OX45" s="79"/>
      <c r="OY45" s="79"/>
      <c r="OZ45" s="79"/>
      <c r="PA45" s="79"/>
      <c r="PB45" s="79"/>
      <c r="PC45" s="79"/>
      <c r="PD45" s="79"/>
      <c r="PE45" s="79"/>
      <c r="PF45" s="79"/>
      <c r="PG45" s="79"/>
      <c r="PH45" s="79"/>
      <c r="PI45" s="79"/>
      <c r="PJ45" s="79"/>
      <c r="PK45" s="79"/>
      <c r="PL45" s="79"/>
      <c r="PM45" s="79"/>
      <c r="PN45" s="79"/>
      <c r="PO45" s="79"/>
      <c r="PP45" s="79"/>
      <c r="PQ45" s="79"/>
      <c r="PR45" s="79"/>
      <c r="PS45" s="79"/>
      <c r="PT45" s="79"/>
      <c r="PU45" s="79"/>
      <c r="PV45" s="79"/>
      <c r="PW45" s="79"/>
    </row>
    <row r="46" spans="1:439" ht="32.1" customHeight="1">
      <c r="A46" s="29"/>
      <c r="B46" s="137" t="str">
        <f>VLOOKUP("Stk",Sprachindex!A:Z,Info!$O$6,FALSE)</f>
        <v>STK</v>
      </c>
      <c r="C46" s="135"/>
      <c r="D46" s="136">
        <f>IF(J46=Formeln!A28,AM46,IF(J46=Formeln!A29,BG46,IF(J46=Formeln!A30,CA46,IF(J46=Formeln!A31,CU46,IF(J46=Formeln!A32,DO46,IF(J46=Formeln!A33,EI46,IF(J46=Formeln!A34,FC46,IF(J46=Formeln!A35,FW46,IF(J46=Formeln!A36,GQ46,IF(J46=Formeln!A37,HK46,IF(J46=Formeln!A38,IE46,IF(J46=Formeln!A39,IY46,IF(J46=Formeln!A40,JS46,IF(J46=Formeln!A41,KM46,IF(J46=Formeln!A42,LG46,IF(J46=Formeln!A43,MA46,IF(J46=Formeln!A44,MU46,IF(J46=Formeln!A45,NO46,IF(J46=Formeln!A46,OI46,IF(J46=Formeln!A47,PC46,IF(J46=Formeln!A48,PW46,0)))))))))))))))))))))</f>
        <v>0</v>
      </c>
      <c r="E46" s="264" t="str">
        <f>VLOOKUP("PREFA Einfassung für Velux-Dachflächenfenster stucco",Sprachindex!A:Z,Info!$O$6,FALSE)</f>
        <v>PREFA Einfassung für Velux-Dachflächenfenster stucco</v>
      </c>
      <c r="F46" s="265"/>
      <c r="G46" s="265"/>
      <c r="H46" s="265"/>
      <c r="I46" s="145" t="str">
        <f>VLOOKUP("Maße:",Sprachindex!A:Z,Info!$O$6,FALSE)</f>
        <v>Maße:</v>
      </c>
      <c r="J46" s="269"/>
      <c r="K46" s="270"/>
      <c r="L46" s="137" t="str">
        <f t="shared" si="0"/>
        <v/>
      </c>
      <c r="M46" s="138"/>
      <c r="O46" s="1"/>
      <c r="P46" s="11"/>
      <c r="Q46" s="11" t="str">
        <f>ROUNDUP(A46/1,0)*1 &amp;" " &amp; VLOOKUP("Stk",Sprachindex!A:Z,Info!$O$6,FALSE)</f>
        <v>0 STK</v>
      </c>
      <c r="T46" s="72">
        <v>111110</v>
      </c>
      <c r="U46" s="76">
        <v>111111</v>
      </c>
      <c r="V46" s="76">
        <v>111112</v>
      </c>
      <c r="W46" s="76">
        <v>111113</v>
      </c>
      <c r="X46" s="76">
        <v>111114</v>
      </c>
      <c r="Y46" s="76">
        <v>111115</v>
      </c>
      <c r="Z46" s="76">
        <v>111116</v>
      </c>
      <c r="AA46" s="76">
        <v>111117</v>
      </c>
      <c r="AB46" s="76">
        <v>111118</v>
      </c>
      <c r="AD46" s="76">
        <v>111100</v>
      </c>
      <c r="AE46" s="76">
        <v>111101</v>
      </c>
      <c r="AF46" s="76">
        <v>111102</v>
      </c>
      <c r="AG46" s="76">
        <v>111103</v>
      </c>
      <c r="AH46" s="76">
        <v>111104</v>
      </c>
      <c r="AI46" s="76">
        <v>111105</v>
      </c>
      <c r="AJ46" s="76">
        <v>111106</v>
      </c>
      <c r="AK46" s="76">
        <v>111107</v>
      </c>
      <c r="AL46" s="76">
        <v>111108</v>
      </c>
      <c r="AM46" s="78">
        <f>IF(AND($N$8=2,$N$20=1),T46,IF(AND($N$8=2,$N$20=4),U46,IF(AND($N$8=2,$N$20=5),V46,IF(AND($N$8=2,$N$20=11),W46,IF(AND($N$8=2,$N$20=7),X46,IF(AND($N$8=2,$N$20=3),Y46,IF(AND($N$8=2,$N$20=6),Z46,IF(AND($N$8=2,$N$20=9),AA46,IF(AND($N$8=2,$N$20=2),AB46,IF(AND($N$8=2,$N$20=8),AC46,IF(AND($N$8=1,$N$20=1),AD46,IF(AND($N$8=1,$N$20=1),AD46,IF(AND($N$8=1,$N$20=4),AE46,IF(AND($N$8=1,$N$20=5),AF46,IF(AND($N$8=1,$N$20=11),AG46,IF(AND($N$8=1,$N$20=7),AH46,IF(AND($N$8=1,$N$20=3),AI46,IF(AND($N$8=1,$N$20=6),AJ46,IF(AND($N$8=1,$N$20=9),AK46,IF(AND($N$8=1,$N$20=2),AL46,0))))))))))))))))))))</f>
        <v>0</v>
      </c>
      <c r="AN46" s="77">
        <v>111110</v>
      </c>
      <c r="AO46" s="76">
        <v>111111</v>
      </c>
      <c r="AP46" s="76">
        <v>111112</v>
      </c>
      <c r="AQ46" s="76">
        <v>111113</v>
      </c>
      <c r="AR46" s="76">
        <v>111114</v>
      </c>
      <c r="AS46" s="76">
        <v>111115</v>
      </c>
      <c r="AT46" s="76">
        <v>111116</v>
      </c>
      <c r="AU46" s="76">
        <v>111117</v>
      </c>
      <c r="AV46" s="76">
        <v>111118</v>
      </c>
      <c r="AX46" s="76">
        <v>111100</v>
      </c>
      <c r="AY46" s="76">
        <v>111101</v>
      </c>
      <c r="AZ46" s="76">
        <v>111102</v>
      </c>
      <c r="BA46" s="76">
        <v>111103</v>
      </c>
      <c r="BB46" s="76">
        <v>111104</v>
      </c>
      <c r="BC46" s="76">
        <v>111105</v>
      </c>
      <c r="BD46" s="76">
        <v>111106</v>
      </c>
      <c r="BE46" s="76">
        <v>111107</v>
      </c>
      <c r="BF46" s="76">
        <v>111108</v>
      </c>
      <c r="BG46" s="78">
        <f>IF(AND($N$8=2,$N$20=1),AN46,IF(AND($N$8=2,$N$20=4),AO46,IF(AND($N$8=2,$N$20=5),AP46,IF(AND($N$8=2,$N$20=11),AQ46,IF(AND($N$8=2,$N$20=7),AR46,IF(AND($N$8=2,$N$20=3),AS46,IF(AND($N$8=2,$N$20=6),AT46,IF(AND($N$8=2,$N$20=9),AU46,IF(AND($N$8=2,$N$20=2),AV46,IF(AND($N$8=2,$N$20=8),AW46,IF(AND($N$8=1,$N$20=1),AX46,IF(AND($N$8=1,$N$20=1),AX46,IF(AND($N$8=1,$N$20=4),AY46,IF(AND($N$8=1,$N$20=5),AZ46,IF(AND($N$8=1,$N$20=11),BA46,IF(AND($N$8=1,$N$20=7),BB46,IF(AND($N$8=1,$N$20=3),BC46,IF(AND($N$8=1,$N$20=6),BD46,IF(AND($N$8=1,$N$20=9),BE46,IF(AND($N$8=1,$N$20=2),BF46,0))))))))))))))))))))</f>
        <v>0</v>
      </c>
      <c r="BH46" s="77">
        <v>111110</v>
      </c>
      <c r="BI46" s="76">
        <v>111111</v>
      </c>
      <c r="BJ46" s="76">
        <v>111112</v>
      </c>
      <c r="BK46" s="76">
        <v>111113</v>
      </c>
      <c r="BL46" s="76">
        <v>111114</v>
      </c>
      <c r="BM46" s="76">
        <v>111115</v>
      </c>
      <c r="BN46" s="76">
        <v>111116</v>
      </c>
      <c r="BO46" s="76">
        <v>111117</v>
      </c>
      <c r="BP46" s="76">
        <v>111118</v>
      </c>
      <c r="BR46" s="76">
        <v>111100</v>
      </c>
      <c r="BS46" s="76">
        <v>111101</v>
      </c>
      <c r="BT46" s="76">
        <v>111102</v>
      </c>
      <c r="BU46" s="76">
        <v>111103</v>
      </c>
      <c r="BV46" s="76">
        <v>111104</v>
      </c>
      <c r="BW46" s="76">
        <v>111105</v>
      </c>
      <c r="BX46" s="76">
        <v>111106</v>
      </c>
      <c r="BY46" s="76">
        <v>111107</v>
      </c>
      <c r="BZ46" s="76">
        <v>111108</v>
      </c>
      <c r="CA46" s="78">
        <f>IF(AND($N$8=2,$N$20=1),BH46,IF(AND($N$8=2,$N$20=4),BI46,IF(AND($N$8=2,$N$20=5),BJ46,IF(AND($N$8=2,$N$20=11),BK46,IF(AND($N$8=2,$N$20=7),BL46,IF(AND($N$8=2,$N$20=3),BM46,IF(AND($N$8=2,$N$20=6),BN46,IF(AND($N$8=2,$N$20=9),BO46,IF(AND($N$8=2,$N$20=2),BP46,IF(AND($N$8=2,$N$20=8),BQ46,IF(AND($N$8=1,$N$20=1),BR46,IF(AND($N$8=1,$N$20=1),BR46,IF(AND($N$8=1,$N$20=4),BS46,IF(AND($N$8=1,$N$20=5),BT46,IF(AND($N$8=1,$N$20=11),BU46,IF(AND($N$8=1,$N$20=7),BV46,IF(AND($N$8=1,$N$20=3),BW46,IF(AND($N$8=1,$N$20=6),BX46,IF(AND($N$8=1,$N$20=9),BY46,IF(AND($N$8=1,$N$20=2),BZ46,0))))))))))))))))))))</f>
        <v>0</v>
      </c>
      <c r="CB46" s="77">
        <v>111130</v>
      </c>
      <c r="CC46" s="72">
        <v>111131</v>
      </c>
      <c r="CD46" s="72">
        <v>111132</v>
      </c>
      <c r="CE46" s="72">
        <v>111133</v>
      </c>
      <c r="CF46" s="72">
        <v>111134</v>
      </c>
      <c r="CG46" s="72">
        <v>111135</v>
      </c>
      <c r="CH46" s="72">
        <v>111136</v>
      </c>
      <c r="CI46" s="72">
        <v>111137</v>
      </c>
      <c r="CJ46" s="72">
        <v>111138</v>
      </c>
      <c r="CL46" s="72">
        <v>111120</v>
      </c>
      <c r="CM46" s="72">
        <v>111121</v>
      </c>
      <c r="CN46" s="72">
        <v>111122</v>
      </c>
      <c r="CO46" s="72">
        <v>111123</v>
      </c>
      <c r="CP46" s="72">
        <v>111124</v>
      </c>
      <c r="CQ46" s="72">
        <v>111125</v>
      </c>
      <c r="CR46" s="72">
        <v>111126</v>
      </c>
      <c r="CS46" s="72">
        <v>111127</v>
      </c>
      <c r="CT46" s="72">
        <v>111128</v>
      </c>
      <c r="CU46" s="78">
        <f>IF(AND($N$8=2,$N$20=1),CB46,IF(AND($N$8=2,$N$20=4),CC46,IF(AND($N$8=2,$N$20=5),CD46,IF(AND($N$8=2,$N$20=11),CE46,IF(AND($N$8=2,$N$20=7),CF46,IF(AND($N$8=2,$N$20=3),CG46,IF(AND($N$8=2,$N$20=6),CH46,IF(AND($N$8=2,$N$20=9),CI46,IF(AND($N$8=2,$N$20=2),CJ46,IF(AND($N$8=2,$N$20=8),CK46,IF(AND($N$8=1,$N$20=1),CL46,IF(AND($N$8=1,$N$20=1),CL46,IF(AND($N$8=1,$N$20=4),CM46,IF(AND($N$8=1,$N$20=5),CN46,IF(AND($N$8=1,$N$20=11),CO46,IF(AND($N$8=1,$N$20=7),CP46,IF(AND($N$8=1,$N$20=3),CQ46,IF(AND($N$8=1,$N$20=6),CR46,IF(AND($N$8=1,$N$20=9),CS46,IF(AND($N$8=1,$N$20=2),CT46,0))))))))))))))))))))</f>
        <v>0</v>
      </c>
      <c r="CV46" s="77">
        <v>111130</v>
      </c>
      <c r="CW46" s="72">
        <v>111131</v>
      </c>
      <c r="CX46" s="72">
        <v>111132</v>
      </c>
      <c r="CY46" s="72">
        <v>111133</v>
      </c>
      <c r="CZ46" s="72">
        <v>111134</v>
      </c>
      <c r="DA46" s="72">
        <v>111135</v>
      </c>
      <c r="DB46" s="72">
        <v>111136</v>
      </c>
      <c r="DC46" s="72">
        <v>111137</v>
      </c>
      <c r="DD46" s="72">
        <v>111138</v>
      </c>
      <c r="DF46" s="72">
        <v>111120</v>
      </c>
      <c r="DG46" s="72">
        <v>111121</v>
      </c>
      <c r="DH46" s="72">
        <v>111122</v>
      </c>
      <c r="DI46" s="72">
        <v>111123</v>
      </c>
      <c r="DJ46" s="72">
        <v>111124</v>
      </c>
      <c r="DK46" s="72">
        <v>111125</v>
      </c>
      <c r="DL46" s="72">
        <v>111126</v>
      </c>
      <c r="DM46" s="72">
        <v>111127</v>
      </c>
      <c r="DN46" s="72">
        <v>111128</v>
      </c>
      <c r="DO46" s="78">
        <f>IF(AND($N$8=2,$N$20=1),CV46,IF(AND($N$8=2,$N$20=4),CW46,IF(AND($N$8=2,$N$20=5),CX46,IF(AND($N$8=2,$N$20=11),CY46,IF(AND($N$8=2,$N$20=7),CZ46,IF(AND($N$8=2,$N$20=3),DA46,IF(AND($N$8=2,$N$20=6),DB46,IF(AND($N$8=2,$N$20=9),DC46,IF(AND($N$8=2,$N$20=2),DD46,IF(AND($N$8=2,$N$20=8),DE46,IF(AND($N$8=1,$N$20=1),DF46,IF(AND($N$8=1,$N$20=1),DF46,IF(AND($N$8=1,$N$20=4),DG46,IF(AND($N$8=1,$N$20=5),DH46,IF(AND($N$8=1,$N$20=11),DI46,IF(AND($N$8=1,$N$20=7),DJ46,IF(AND($N$8=1,$N$20=3),DK46,IF(AND($N$8=1,$N$20=6),DL46,IF(AND($N$8=1,$N$20=9),DM46,IF(AND($N$8=1,$N$20=2),DN46,0))))))))))))))))))))</f>
        <v>0</v>
      </c>
      <c r="DP46" s="77">
        <v>111270</v>
      </c>
      <c r="DQ46" s="72">
        <v>111271</v>
      </c>
      <c r="DR46" s="72">
        <v>111272</v>
      </c>
      <c r="DS46" s="72">
        <v>111273</v>
      </c>
      <c r="DT46" s="72">
        <v>111274</v>
      </c>
      <c r="DU46" s="72">
        <v>111275</v>
      </c>
      <c r="DV46" s="72">
        <v>111276</v>
      </c>
      <c r="DW46" s="72">
        <v>111277</v>
      </c>
      <c r="DX46" s="72">
        <v>111278</v>
      </c>
      <c r="DZ46" s="72">
        <v>111260</v>
      </c>
      <c r="EA46" s="72">
        <v>111261</v>
      </c>
      <c r="EB46" s="72">
        <v>111262</v>
      </c>
      <c r="EC46" s="72">
        <v>111263</v>
      </c>
      <c r="ED46" s="72">
        <v>111264</v>
      </c>
      <c r="EE46" s="72">
        <v>111265</v>
      </c>
      <c r="EF46" s="72">
        <v>111266</v>
      </c>
      <c r="EG46" s="72">
        <v>111267</v>
      </c>
      <c r="EH46" s="72">
        <v>111268</v>
      </c>
      <c r="EI46" s="78">
        <f>IF(AND($N$8=2,$N$20=1),DP46,IF(AND($N$8=2,$N$20=4),DQ46,IF(AND($N$8=2,$N$20=5),DR46,IF(AND($N$8=2,$N$20=11),DS46,IF(AND($N$8=2,$N$20=7),DT46,IF(AND($N$8=2,$N$20=3),DU46,IF(AND($N$8=2,$N$20=6),DV46,IF(AND($N$8=2,$N$20=9),DW46,IF(AND($N$8=2,$N$20=2),DX46,IF(AND($N$8=2,$N$20=8),DY46,IF(AND($N$8=1,$N$20=1),DZ46,IF(AND($N$8=1,$N$20=1),DZ46,IF(AND($N$8=1,$N$20=4),EA46,IF(AND($N$8=1,$N$20=5),EB46,IF(AND($N$8=1,$N$20=11),EC46,IF(AND($N$8=1,$N$20=7),ED46,IF(AND($N$8=1,$N$20=3),EE46,IF(AND($N$8=1,$N$20=6),EF46,IF(AND($N$8=1,$N$20=9),EG46,IF(AND($N$8=1,$N$20=2),EH46,0))))))))))))))))))))</f>
        <v>0</v>
      </c>
      <c r="EJ46" s="77">
        <v>111170</v>
      </c>
      <c r="EK46" s="72">
        <v>111171</v>
      </c>
      <c r="EL46" s="72">
        <v>111172</v>
      </c>
      <c r="EM46" s="72">
        <v>111173</v>
      </c>
      <c r="EN46" s="72">
        <v>111174</v>
      </c>
      <c r="EO46" s="72">
        <v>111175</v>
      </c>
      <c r="EP46" s="72">
        <v>111176</v>
      </c>
      <c r="EQ46" s="72">
        <v>111177</v>
      </c>
      <c r="ER46" s="72">
        <v>111178</v>
      </c>
      <c r="ET46" s="72">
        <v>111160</v>
      </c>
      <c r="EU46" s="72">
        <v>111161</v>
      </c>
      <c r="EV46" s="72">
        <v>111162</v>
      </c>
      <c r="EW46" s="72">
        <v>111163</v>
      </c>
      <c r="EX46" s="72">
        <v>111164</v>
      </c>
      <c r="EY46" s="72">
        <v>111165</v>
      </c>
      <c r="EZ46" s="72">
        <v>111166</v>
      </c>
      <c r="FA46" s="72">
        <v>111167</v>
      </c>
      <c r="FB46" s="72">
        <v>111168</v>
      </c>
      <c r="FC46" s="78">
        <f>IF(AND($N$8=2,$N$20=1),EJ46,IF(AND($N$8=2,$N$20=4),EK46,IF(AND($N$8=2,$N$20=5),EL46,IF(AND($N$8=2,$N$20=11),EM46,IF(AND($N$8=2,$N$20=7),EN46,IF(AND($N$8=2,$N$20=3),EO46,IF(AND($N$8=2,$N$20=6),EP46,IF(AND($N$8=2,$N$20=9),EQ46,IF(AND($N$8=2,$N$20=2),ER46,IF(AND($N$8=2,$N$20=8),ES46,IF(AND($N$8=1,$N$20=1),ET46,IF(AND($N$8=1,$N$20=1),ET46,IF(AND($N$8=1,$N$20=4),EU46,IF(AND($N$8=1,$N$20=5),EV46,IF(AND($N$8=1,$N$20=11),EW46,IF(AND($N$8=1,$N$20=7),EX46,IF(AND($N$8=1,$N$20=3),EY46,IF(AND($N$8=1,$N$20=6),EZ46,IF(AND($N$8=1,$N$20=9),FA46,IF(AND($N$8=1,$N$20=2),FB46,0))))))))))))))))))))</f>
        <v>0</v>
      </c>
      <c r="FD46" s="77">
        <v>111170</v>
      </c>
      <c r="FE46" s="72">
        <v>111171</v>
      </c>
      <c r="FF46" s="72">
        <v>111172</v>
      </c>
      <c r="FG46" s="72">
        <v>111173</v>
      </c>
      <c r="FH46" s="72">
        <v>111174</v>
      </c>
      <c r="FI46" s="72">
        <v>111175</v>
      </c>
      <c r="FJ46" s="72">
        <v>111176</v>
      </c>
      <c r="FK46" s="72">
        <v>111177</v>
      </c>
      <c r="FL46" s="72">
        <v>111178</v>
      </c>
      <c r="FN46" s="72">
        <v>111160</v>
      </c>
      <c r="FO46" s="72">
        <v>111161</v>
      </c>
      <c r="FP46" s="72">
        <v>111162</v>
      </c>
      <c r="FQ46" s="72">
        <v>111163</v>
      </c>
      <c r="FR46" s="72">
        <v>111164</v>
      </c>
      <c r="FS46" s="72">
        <v>111165</v>
      </c>
      <c r="FT46" s="72">
        <v>111166</v>
      </c>
      <c r="FU46" s="72">
        <v>111167</v>
      </c>
      <c r="FV46" s="72">
        <v>111168</v>
      </c>
      <c r="FW46" s="78">
        <f>IF(AND($N$8=2,$N$20=1),FD46,IF(AND($N$8=2,$N$20=4),FE46,IF(AND($N$8=2,$N$20=5),FF46,IF(AND($N$8=2,$N$20=11),FG46,IF(AND($N$8=2,$N$20=7),FH46,IF(AND($N$8=2,$N$20=3),FI46,IF(AND($N$8=2,$N$20=6),FJ46,IF(AND($N$8=2,$N$20=9),FK46,IF(AND($N$8=2,$N$20=2),FL46,IF(AND($N$8=2,$N$20=8),FM46,IF(AND($N$8=1,$N$20=1),FN46,IF(AND($N$8=1,$N$20=1),FN46,IF(AND($N$8=1,$N$20=4),FO46,IF(AND($N$8=1,$N$20=5),FP46,IF(AND($N$8=1,$N$20=11),FQ46,IF(AND($N$8=1,$N$20=7),FR46,IF(AND($N$8=1,$N$20=3),FS46,IF(AND($N$8=1,$N$20=6),FT46,IF(AND($N$8=1,$N$20=9),FU46,IF(AND($N$8=1,$N$20=2),FV46,0))))))))))))))))))))</f>
        <v>0</v>
      </c>
      <c r="FX46" s="77">
        <v>111170</v>
      </c>
      <c r="FY46" s="72">
        <v>111171</v>
      </c>
      <c r="FZ46" s="72">
        <v>111172</v>
      </c>
      <c r="GA46" s="72">
        <v>111173</v>
      </c>
      <c r="GB46" s="72">
        <v>111174</v>
      </c>
      <c r="GC46" s="72">
        <v>111175</v>
      </c>
      <c r="GD46" s="72">
        <v>111176</v>
      </c>
      <c r="GE46" s="72">
        <v>111177</v>
      </c>
      <c r="GF46" s="72">
        <v>111178</v>
      </c>
      <c r="GH46" s="72">
        <v>111160</v>
      </c>
      <c r="GI46" s="72">
        <v>111161</v>
      </c>
      <c r="GJ46" s="72">
        <v>111162</v>
      </c>
      <c r="GK46" s="72">
        <v>111163</v>
      </c>
      <c r="GL46" s="72">
        <v>111164</v>
      </c>
      <c r="GM46" s="72">
        <v>111165</v>
      </c>
      <c r="GN46" s="72">
        <v>111166</v>
      </c>
      <c r="GO46" s="72">
        <v>111167</v>
      </c>
      <c r="GP46" s="72">
        <v>111168</v>
      </c>
      <c r="GQ46" s="78">
        <f>IF(AND($N$8=2,$N$20=1),FX46,IF(AND($N$8=2,$N$20=4),FY46,IF(AND($N$8=2,$N$20=5),FZ46,IF(AND($N$8=2,$N$20=11),GA46,IF(AND($N$8=2,$N$20=7),GB46,IF(AND($N$8=2,$N$20=3),GC46,IF(AND($N$8=2,$N$20=6),GD46,IF(AND($N$8=2,$N$20=9),GE46,IF(AND($N$8=2,$N$20=2),GF46,IF(AND($N$8=2,$N$20=8),GG46,IF(AND($N$8=1,$N$20=1),GH46,IF(AND($N$8=1,$N$20=1),GH46,IF(AND($N$8=1,$N$20=4),GI46,IF(AND($N$8=1,$N$20=5),GJ46,IF(AND($N$8=1,$N$20=11),GK46,IF(AND($N$8=1,$N$20=7),GL46,IF(AND($N$8=1,$N$20=3),GM46,IF(AND($N$8=1,$N$20=6),GN46,IF(AND($N$8=1,$N$20=9),GO46,IF(AND($N$8=1,$N$20=2),GP46,0))))))))))))))))))))</f>
        <v>0</v>
      </c>
      <c r="GR46" s="77">
        <v>111290</v>
      </c>
      <c r="GS46" s="72">
        <v>111291</v>
      </c>
      <c r="GT46" s="72">
        <v>111292</v>
      </c>
      <c r="GU46" s="72">
        <v>111293</v>
      </c>
      <c r="GV46" s="72">
        <v>111294</v>
      </c>
      <c r="GW46" s="72">
        <v>111295</v>
      </c>
      <c r="GX46" s="72">
        <v>111296</v>
      </c>
      <c r="GY46" s="72">
        <v>111297</v>
      </c>
      <c r="GZ46" s="72">
        <v>111298</v>
      </c>
      <c r="HB46" s="72">
        <v>111280</v>
      </c>
      <c r="HC46" s="72">
        <v>111281</v>
      </c>
      <c r="HD46" s="72">
        <v>111282</v>
      </c>
      <c r="HE46" s="72">
        <v>111283</v>
      </c>
      <c r="HF46" s="72">
        <v>111284</v>
      </c>
      <c r="HG46" s="72">
        <v>111285</v>
      </c>
      <c r="HH46" s="72">
        <v>111286</v>
      </c>
      <c r="HI46" s="72">
        <v>111287</v>
      </c>
      <c r="HJ46" s="72">
        <v>111288</v>
      </c>
      <c r="HK46" s="78">
        <f>IF(AND($N$8=2,$N$20=1),GR46,IF(AND($N$8=2,$N$20=4),GS46,IF(AND($N$8=2,$N$20=5),GT46,IF(AND($N$8=2,$N$20=11),GU46,IF(AND($N$8=2,$N$20=7),GV46,IF(AND($N$8=2,$N$20=3),GW46,IF(AND($N$8=2,$N$20=6),GX46,IF(AND($N$8=2,$N$20=9),GY46,IF(AND($N$8=2,$N$20=2),GZ46,IF(AND($N$8=2,$N$20=8),HA46,IF(AND($N$8=1,$N$20=1),HB46,IF(AND($N$8=1,$N$20=1),HB46,IF(AND($N$8=1,$N$20=4),HC46,IF(AND($N$8=1,$N$20=5),HD46,IF(AND($N$8=1,$N$20=11),HE46,IF(AND($N$8=1,$N$20=7),HF46,IF(AND($N$8=1,$N$20=3),HG46,IF(AND($N$8=1,$N$20=6),HH46,IF(AND($N$8=1,$N$20=9),HI46,IF(AND($N$8=1,$N$20=2),HJ46,0))))))))))))))))))))</f>
        <v>0</v>
      </c>
      <c r="HL46" s="77">
        <v>111290</v>
      </c>
      <c r="HM46" s="72">
        <v>111291</v>
      </c>
      <c r="HN46" s="72">
        <v>111292</v>
      </c>
      <c r="HO46" s="72">
        <v>111293</v>
      </c>
      <c r="HP46" s="72">
        <v>111294</v>
      </c>
      <c r="HQ46" s="72">
        <v>111295</v>
      </c>
      <c r="HR46" s="72">
        <v>111296</v>
      </c>
      <c r="HS46" s="72">
        <v>111297</v>
      </c>
      <c r="HT46" s="72">
        <v>111298</v>
      </c>
      <c r="HV46" s="72">
        <v>111280</v>
      </c>
      <c r="HW46" s="72">
        <v>111281</v>
      </c>
      <c r="HX46" s="72">
        <v>111282</v>
      </c>
      <c r="HY46" s="72">
        <v>111283</v>
      </c>
      <c r="HZ46" s="72">
        <v>111284</v>
      </c>
      <c r="IA46" s="72">
        <v>111285</v>
      </c>
      <c r="IB46" s="72">
        <v>111286</v>
      </c>
      <c r="IC46" s="72">
        <v>111287</v>
      </c>
      <c r="ID46" s="72">
        <v>111288</v>
      </c>
      <c r="IE46" s="78">
        <f>IF(AND($N$8=2,$N$20=1),HL46,IF(AND($N$8=2,$N$20=4),HM46,IF(AND($N$8=2,$N$20=5),HN46,IF(AND($N$8=2,$N$20=11),HO46,IF(AND($N$8=2,$N$20=7),HP46,IF(AND($N$8=2,$N$20=3),HQ46,IF(AND($N$8=2,$N$20=6),HR46,IF(AND($N$8=2,$N$20=9),HS46,IF(AND($N$8=2,$N$20=2),HT46,IF(AND($N$8=2,$N$20=8),HU46,IF(AND($N$8=1,$N$20=1),HV46,IF(AND($N$8=1,$N$20=1),HV46,IF(AND($N$8=1,$N$20=4),HW46,IF(AND($N$8=1,$N$20=5),HX46,IF(AND($N$8=1,$N$20=11),HY46,IF(AND($N$8=1,$N$20=7),HZ46,IF(AND($N$8=1,$N$20=3),IA46,IF(AND($N$8=1,$N$20=6),IB46,IF(AND($N$8=1,$N$20=9),IC46,IF(AND($N$8=1,$N$20=2),ID46,0))))))))))))))))))))</f>
        <v>0</v>
      </c>
      <c r="IF46" s="77">
        <v>111190</v>
      </c>
      <c r="IG46" s="72">
        <v>111191</v>
      </c>
      <c r="IH46" s="72">
        <v>111192</v>
      </c>
      <c r="II46" s="72">
        <v>111193</v>
      </c>
      <c r="IJ46" s="72">
        <v>111194</v>
      </c>
      <c r="IK46" s="72">
        <v>111195</v>
      </c>
      <c r="IL46" s="72">
        <v>111196</v>
      </c>
      <c r="IM46" s="72">
        <v>111197</v>
      </c>
      <c r="IN46" s="72">
        <v>111198</v>
      </c>
      <c r="IP46" s="72">
        <v>111180</v>
      </c>
      <c r="IQ46" s="72">
        <v>111181</v>
      </c>
      <c r="IR46" s="72">
        <v>111182</v>
      </c>
      <c r="IS46" s="72">
        <v>111183</v>
      </c>
      <c r="IT46" s="72">
        <v>111184</v>
      </c>
      <c r="IU46" s="72">
        <v>111185</v>
      </c>
      <c r="IV46" s="72">
        <v>111186</v>
      </c>
      <c r="IW46" s="72">
        <v>111187</v>
      </c>
      <c r="IX46" s="72">
        <v>111188</v>
      </c>
      <c r="IY46" s="78">
        <f>IF(AND($N$8=2,$N$20=1),IF46,IF(AND($N$8=2,$N$20=4),IG46,IF(AND($N$8=2,$N$20=5),IH46,IF(AND($N$8=2,$N$20=11),II46,IF(AND($N$8=2,$N$20=7),IJ46,IF(AND($N$8=2,$N$20=3),IK46,IF(AND($N$8=2,$N$20=6),IL46,IF(AND($N$8=2,$N$20=9),IM46,IF(AND($N$8=2,$N$20=2),IN46,IF(AND($N$8=2,$N$20=8),IO46,IF(AND($N$8=1,$N$20=1),IP46,IF(AND($N$8=1,$N$20=1),IP46,IF(AND($N$8=1,$N$20=4),IQ46,IF(AND($N$8=1,$N$20=5),IR46,IF(AND($N$8=1,$N$20=11),IS46,IF(AND($N$8=1,$N$20=7),IT46,IF(AND($N$8=1,$N$20=3),IU46,IF(AND($N$8=1,$N$20=6),IV46,IF(AND($N$8=1,$N$20=9),IW46,IF(AND($N$8=1,$N$20=2),IX46,0))))))))))))))))))))</f>
        <v>0</v>
      </c>
      <c r="IZ46" s="77">
        <v>111190</v>
      </c>
      <c r="JA46" s="72">
        <v>111191</v>
      </c>
      <c r="JB46" s="72">
        <v>111192</v>
      </c>
      <c r="JC46" s="72">
        <v>111193</v>
      </c>
      <c r="JD46" s="72">
        <v>111194</v>
      </c>
      <c r="JE46" s="72">
        <v>111195</v>
      </c>
      <c r="JF46" s="72">
        <v>111196</v>
      </c>
      <c r="JG46" s="72">
        <v>111197</v>
      </c>
      <c r="JH46" s="72">
        <v>111198</v>
      </c>
      <c r="JJ46" s="72">
        <v>111180</v>
      </c>
      <c r="JK46" s="72">
        <v>111181</v>
      </c>
      <c r="JL46" s="72">
        <v>111182</v>
      </c>
      <c r="JM46" s="72">
        <v>111183</v>
      </c>
      <c r="JN46" s="72">
        <v>111184</v>
      </c>
      <c r="JO46" s="72">
        <v>111185</v>
      </c>
      <c r="JP46" s="72">
        <v>111186</v>
      </c>
      <c r="JQ46" s="72">
        <v>111187</v>
      </c>
      <c r="JR46" s="72">
        <v>111188</v>
      </c>
      <c r="JS46" s="78">
        <f>IF(AND($N$8=2,$N$20=1),IZ46,IF(AND($N$8=2,$N$20=4),JA46,IF(AND($N$8=2,$N$20=5),JB46,IF(AND($N$8=2,$N$20=11),JC46,IF(AND($N$8=2,$N$20=7),JD46,IF(AND($N$8=2,$N$20=3),JE46,IF(AND($N$8=2,$N$20=6),JF46,IF(AND($N$8=2,$N$20=9),JG46,IF(AND($N$8=2,$N$20=2),JH46,IF(AND($N$8=2,$N$20=8),JI46,IF(AND($N$8=1,$N$20=1),JJ46,IF(AND($N$8=1,$N$20=1),JJ46,IF(AND($N$8=1,$N$20=4),JK46,IF(AND($N$8=1,$N$20=5),JL46,IF(AND($N$8=1,$N$20=11),JM46,IF(AND($N$8=1,$N$20=7),JN46,IF(AND($N$8=1,$N$20=3),JO46,IF(AND($N$8=1,$N$20=6),JP46,IF(AND($N$8=1,$N$20=9),JQ46,IF(AND($N$8=1,$N$20=2),JR46,0))))))))))))))))))))</f>
        <v>0</v>
      </c>
      <c r="JT46" s="77">
        <v>111190</v>
      </c>
      <c r="JU46" s="72">
        <v>111191</v>
      </c>
      <c r="JV46" s="72">
        <v>111192</v>
      </c>
      <c r="JW46" s="72">
        <v>111193</v>
      </c>
      <c r="JX46" s="72">
        <v>111194</v>
      </c>
      <c r="JY46" s="72">
        <v>111195</v>
      </c>
      <c r="JZ46" s="72">
        <v>111196</v>
      </c>
      <c r="KA46" s="72">
        <v>111197</v>
      </c>
      <c r="KB46" s="72">
        <v>111198</v>
      </c>
      <c r="KD46" s="72">
        <v>111180</v>
      </c>
      <c r="KE46" s="72">
        <v>111181</v>
      </c>
      <c r="KF46" s="72">
        <v>111182</v>
      </c>
      <c r="KG46" s="72">
        <v>111183</v>
      </c>
      <c r="KH46" s="72">
        <v>111184</v>
      </c>
      <c r="KI46" s="72">
        <v>111185</v>
      </c>
      <c r="KJ46" s="72">
        <v>111186</v>
      </c>
      <c r="KK46" s="72">
        <v>111187</v>
      </c>
      <c r="KL46" s="72">
        <v>111188</v>
      </c>
      <c r="KM46" s="78">
        <f>IF(AND($N$8=2,$N$20=1),JT46,IF(AND($N$8=2,$N$20=4),JU46,IF(AND($N$8=2,$N$20=5),JV46,IF(AND($N$8=2,$N$20=11),JW46,IF(AND($N$8=2,$N$20=7),JX46,IF(AND($N$8=2,$N$20=3),JY46,IF(AND($N$8=2,$N$20=6),JZ46,IF(AND($N$8=2,$N$20=9),KA46,IF(AND($N$8=2,$N$20=2),KB46,IF(AND($N$8=2,$N$20=8),KC46,IF(AND($N$8=1,$N$20=1),KD46,IF(AND($N$8=1,$N$20=1),KD46,IF(AND($N$8=1,$N$20=4),KE46,IF(AND($N$8=1,$N$20=5),KF46,IF(AND($N$8=1,$N$20=11),KG46,IF(AND($N$8=1,$N$20=7),KH46,IF(AND($N$8=1,$N$20=3),KI46,IF(AND($N$8=1,$N$20=6),KJ46,IF(AND($N$8=1,$N$20=9),KK46,IF(AND($N$8=1,$N$20=2),KL46,0))))))))))))))))))))</f>
        <v>0</v>
      </c>
      <c r="KN46" s="77">
        <v>111210</v>
      </c>
      <c r="KO46" s="72">
        <v>111211</v>
      </c>
      <c r="KP46" s="72">
        <v>111212</v>
      </c>
      <c r="KQ46" s="72">
        <v>111213</v>
      </c>
      <c r="KR46" s="72">
        <v>111214</v>
      </c>
      <c r="KS46" s="72">
        <v>111215</v>
      </c>
      <c r="KT46" s="72">
        <v>111216</v>
      </c>
      <c r="KU46" s="72">
        <v>111217</v>
      </c>
      <c r="KV46" s="72">
        <v>111218</v>
      </c>
      <c r="KX46" s="72">
        <v>111200</v>
      </c>
      <c r="KY46" s="72">
        <v>111201</v>
      </c>
      <c r="KZ46" s="72">
        <v>111202</v>
      </c>
      <c r="LA46" s="72">
        <v>111203</v>
      </c>
      <c r="LB46" s="72">
        <v>111204</v>
      </c>
      <c r="LC46" s="72">
        <v>111205</v>
      </c>
      <c r="LD46" s="72">
        <v>111206</v>
      </c>
      <c r="LE46" s="72">
        <v>111207</v>
      </c>
      <c r="LF46" s="72">
        <v>111208</v>
      </c>
      <c r="LG46" s="78">
        <f>IF(AND($N$8=2,$N$20=1),KN46,IF(AND($N$8=2,$N$20=4),KO46,IF(AND($N$8=2,$N$20=5),KP46,IF(AND($N$8=2,$N$20=11),KQ46,IF(AND($N$8=2,$N$20=7),KR46,IF(AND($N$8=2,$N$20=3),KS46,IF(AND($N$8=2,$N$20=6),KT46,IF(AND($N$8=2,$N$20=9),KU46,IF(AND($N$8=2,$N$20=2),KV46,IF(AND($N$8=2,$N$20=8),KW46,IF(AND($N$8=1,$N$20=1),KX46,IF(AND($N$8=1,$N$20=1),KX46,IF(AND($N$8=1,$N$20=4),KY46,IF(AND($N$8=1,$N$20=5),KZ46,IF(AND($N$8=1,$N$20=11),LA46,IF(AND($N$8=1,$N$20=7),LB46,IF(AND($N$8=1,$N$20=3),LC46,IF(AND($N$8=1,$N$20=6),LD46,IF(AND($N$8=1,$N$20=9),LE46,IF(AND($N$8=1,$N$20=2),LF46,0))))))))))))))))))))</f>
        <v>0</v>
      </c>
      <c r="LH46" s="77">
        <v>111230</v>
      </c>
      <c r="LI46" s="72">
        <v>111231</v>
      </c>
      <c r="LJ46" s="72">
        <v>111232</v>
      </c>
      <c r="LK46" s="72">
        <v>111233</v>
      </c>
      <c r="LL46" s="72">
        <v>111234</v>
      </c>
      <c r="LM46" s="72">
        <v>111235</v>
      </c>
      <c r="LN46" s="72">
        <v>111236</v>
      </c>
      <c r="LO46" s="72">
        <v>111237</v>
      </c>
      <c r="LP46" s="72">
        <v>111238</v>
      </c>
      <c r="LR46" s="72">
        <v>111220</v>
      </c>
      <c r="LS46" s="72">
        <v>111221</v>
      </c>
      <c r="LT46" s="72">
        <v>111222</v>
      </c>
      <c r="LU46" s="72">
        <v>111223</v>
      </c>
      <c r="LV46" s="72">
        <v>111224</v>
      </c>
      <c r="LW46" s="72">
        <v>111225</v>
      </c>
      <c r="LX46" s="72">
        <v>111226</v>
      </c>
      <c r="LY46" s="72">
        <v>111227</v>
      </c>
      <c r="LZ46" s="72">
        <v>111228</v>
      </c>
      <c r="MA46" s="78">
        <f>IF(AND($N$8=2,$N$20=1),LH46,IF(AND($N$8=2,$N$20=4),LI46,IF(AND($N$8=2,$N$20=5),LJ46,IF(AND($N$8=2,$N$20=11),LK46,IF(AND($N$8=2,$N$20=7),LL46,IF(AND($N$8=2,$N$20=3),LM46,IF(AND($N$8=2,$N$20=6),LN46,IF(AND($N$8=2,$N$20=9),LO46,IF(AND($N$8=2,$N$20=2),LP46,IF(AND($N$8=2,$N$20=8),LQ46,IF(AND($N$8=1,$N$20=1),LR46,IF(AND($N$8=1,$N$20=1),LR46,IF(AND($N$8=1,$N$20=4),LS46,IF(AND($N$8=1,$N$20=5),LT46,IF(AND($N$8=1,$N$20=11),LU46,IF(AND($N$8=1,$N$20=7),LV46,IF(AND($N$8=1,$N$20=3),LW46,IF(AND($N$8=1,$N$20=6),LX46,IF(AND($N$8=1,$N$20=9),LY46,IF(AND($N$8=1,$N$20=2),LZ46,0))))))))))))))))))))</f>
        <v>0</v>
      </c>
      <c r="MB46" s="77">
        <v>111230</v>
      </c>
      <c r="MC46" s="72">
        <v>111231</v>
      </c>
      <c r="MD46" s="72">
        <v>111232</v>
      </c>
      <c r="ME46" s="72">
        <v>111233</v>
      </c>
      <c r="MF46" s="72">
        <v>111234</v>
      </c>
      <c r="MG46" s="72">
        <v>111235</v>
      </c>
      <c r="MH46" s="72">
        <v>111236</v>
      </c>
      <c r="MI46" s="72">
        <v>111237</v>
      </c>
      <c r="MJ46" s="72">
        <v>111238</v>
      </c>
      <c r="ML46" s="72">
        <v>111220</v>
      </c>
      <c r="MM46" s="72">
        <v>111221</v>
      </c>
      <c r="MN46" s="72">
        <v>111222</v>
      </c>
      <c r="MO46" s="72">
        <v>111223</v>
      </c>
      <c r="MP46" s="72">
        <v>111224</v>
      </c>
      <c r="MQ46" s="72">
        <v>111225</v>
      </c>
      <c r="MR46" s="72">
        <v>111226</v>
      </c>
      <c r="MS46" s="72">
        <v>111227</v>
      </c>
      <c r="MT46" s="72">
        <v>111228</v>
      </c>
      <c r="MU46" s="78">
        <f>IF(AND($N$8=2,$N$20=1),MB46,IF(AND($N$8=2,$N$20=4),MC46,IF(AND($N$8=2,$N$20=5),MD46,IF(AND($N$8=2,$N$20=11),ME46,IF(AND($N$8=2,$N$20=7),MF46,IF(AND($N$8=2,$N$20=3),MG46,IF(AND($N$8=2,$N$20=6),MH46,IF(AND($N$8=2,$N$20=9),MI46,IF(AND($N$8=2,$N$20=2),MJ46,IF(AND($N$8=2,$N$20=8),MK46,IF(AND($N$8=1,$N$20=1),ML46,IF(AND($N$8=1,$N$20=1),ML46,IF(AND($N$8=1,$N$20=4),MM46,IF(AND($N$8=1,$N$20=5),MN46,IF(AND($N$8=1,$N$20=11),MO46,IF(AND($N$8=1,$N$20=7),MP46,IF(AND($N$8=1,$N$20=3),MQ46,IF(AND($N$8=1,$N$20=6),MR46,IF(AND($N$8=1,$N$20=9),MS46,IF(AND($N$8=1,$N$20=2),MT46,0))))))))))))))))))))</f>
        <v>0</v>
      </c>
      <c r="MV46" s="77">
        <v>111610</v>
      </c>
      <c r="MW46" s="72">
        <v>111611</v>
      </c>
      <c r="MX46" s="72">
        <v>111612</v>
      </c>
      <c r="MY46" s="72">
        <v>111613</v>
      </c>
      <c r="MZ46" s="72">
        <v>111614</v>
      </c>
      <c r="NA46" s="72">
        <v>111615</v>
      </c>
      <c r="NB46" s="72">
        <v>111616</v>
      </c>
      <c r="NC46" s="72">
        <v>111617</v>
      </c>
      <c r="ND46" s="72">
        <v>111618</v>
      </c>
      <c r="NF46" s="72">
        <v>111600</v>
      </c>
      <c r="NG46" s="72">
        <v>111601</v>
      </c>
      <c r="NH46" s="72">
        <v>111602</v>
      </c>
      <c r="NI46" s="72">
        <v>111603</v>
      </c>
      <c r="NJ46" s="72">
        <v>111604</v>
      </c>
      <c r="NK46" s="72">
        <v>111605</v>
      </c>
      <c r="NL46" s="72">
        <v>111606</v>
      </c>
      <c r="NM46" s="72">
        <v>111607</v>
      </c>
      <c r="NN46" s="72">
        <v>111608</v>
      </c>
      <c r="NO46" s="78">
        <f>IF(AND($N$8=2,$N$20=1),MV46,IF(AND($N$8=2,$N$20=4),MW46,IF(AND($N$8=2,$N$20=5),MX46,IF(AND($N$8=2,$N$20=11),MY46,IF(AND($N$8=2,$N$20=7),MZ46,IF(AND($N$8=2,$N$20=3),NA46,IF(AND($N$8=2,$N$20=6),NB46,IF(AND($N$8=2,$N$20=9),NC46,IF(AND($N$8=2,$N$20=2),ND46,IF(AND($N$8=2,$N$20=8),NE46,IF(AND($N$8=1,$N$20=1),NF46,IF(AND($N$8=1,$N$20=1),NF46,IF(AND($N$8=1,$N$20=4),NG46,IF(AND($N$8=1,$N$20=5),NH46,IF(AND($N$8=1,$N$20=11),NI46,IF(AND($N$8=1,$N$20=7),NJ46,IF(AND($N$8=1,$N$20=3),NK46,IF(AND($N$8=1,$N$20=6),NL46,IF(AND($N$8=1,$N$20=9),NM46,IF(AND($N$8=1,$N$20=2),NN46,0))))))))))))))))))))</f>
        <v>0</v>
      </c>
      <c r="NP46" s="77">
        <v>111250</v>
      </c>
      <c r="NQ46" s="72">
        <v>111251</v>
      </c>
      <c r="NR46" s="72">
        <v>111252</v>
      </c>
      <c r="NS46" s="72">
        <v>111253</v>
      </c>
      <c r="NT46" s="72">
        <v>111254</v>
      </c>
      <c r="NU46" s="72">
        <v>111255</v>
      </c>
      <c r="NV46" s="72">
        <v>111256</v>
      </c>
      <c r="NW46" s="72">
        <v>111257</v>
      </c>
      <c r="NX46" s="72">
        <v>111258</v>
      </c>
      <c r="NZ46" s="72">
        <v>111240</v>
      </c>
      <c r="OA46" s="72">
        <v>111241</v>
      </c>
      <c r="OB46" s="72">
        <v>111242</v>
      </c>
      <c r="OC46" s="72">
        <v>111243</v>
      </c>
      <c r="OD46" s="72">
        <v>111244</v>
      </c>
      <c r="OE46" s="72">
        <v>111245</v>
      </c>
      <c r="OF46" s="72">
        <v>111246</v>
      </c>
      <c r="OG46" s="72">
        <v>111247</v>
      </c>
      <c r="OH46" s="72">
        <v>111248</v>
      </c>
      <c r="OI46" s="78">
        <f>IF(AND($N$8=2,$N$20=1),NP46,IF(AND($N$8=2,$N$20=4),NQ46,IF(AND($N$8=2,$N$20=5),NR46,IF(AND($N$8=2,$N$20=11),NS46,IF(AND($N$8=2,$N$20=7),NT46,IF(AND($N$8=2,$N$20=3),NU46,IF(AND($N$8=2,$N$20=6),NV46,IF(AND($N$8=2,$N$20=9),NW46,IF(AND($N$8=2,$N$20=2),NX46,IF(AND($N$8=2,$N$20=8),NY46,IF(AND($N$8=1,$N$20=1),NZ46,IF(AND($N$8=1,$N$20=1),NZ46,IF(AND($N$8=1,$N$20=4),OA46,IF(AND($N$8=1,$N$20=5),OB46,IF(AND($N$8=1,$N$20=11),OC46,IF(AND($N$8=1,$N$20=7),OD46,IF(AND($N$8=1,$N$20=3),OE46,IF(AND($N$8=1,$N$20=6),OF46,IF(AND($N$8=1,$N$20=9),OG46,IF(AND($N$8=1,$N$20=2),OH46,0))))))))))))))))))))</f>
        <v>0</v>
      </c>
      <c r="OJ46" s="77">
        <v>111250</v>
      </c>
      <c r="OK46" s="72">
        <v>111251</v>
      </c>
      <c r="OL46" s="72">
        <v>111252</v>
      </c>
      <c r="OM46" s="72">
        <v>111253</v>
      </c>
      <c r="ON46" s="72">
        <v>111254</v>
      </c>
      <c r="OO46" s="72">
        <v>111255</v>
      </c>
      <c r="OP46" s="72">
        <v>111256</v>
      </c>
      <c r="OQ46" s="72">
        <v>111257</v>
      </c>
      <c r="OR46" s="72">
        <v>111258</v>
      </c>
      <c r="OT46" s="72">
        <v>111240</v>
      </c>
      <c r="OU46" s="72">
        <v>111241</v>
      </c>
      <c r="OV46" s="72">
        <v>111242</v>
      </c>
      <c r="OW46" s="72">
        <v>111243</v>
      </c>
      <c r="OX46" s="72">
        <v>111244</v>
      </c>
      <c r="OY46" s="72">
        <v>111245</v>
      </c>
      <c r="OZ46" s="72">
        <v>111246</v>
      </c>
      <c r="PA46" s="72">
        <v>111247</v>
      </c>
      <c r="PB46" s="72">
        <v>111248</v>
      </c>
      <c r="PC46" s="78">
        <f>IF(AND($N$8=2,$N$20=1),OJ46,IF(AND($N$8=2,$N$20=4),OK46,IF(AND($N$8=2,$N$20=5),OL46,IF(AND($N$8=2,$N$20=11),OM46,IF(AND($N$8=2,$N$20=7),ON46,IF(AND($N$8=2,$N$20=3),OO46,IF(AND($N$8=2,$N$20=6),OP46,IF(AND($N$8=2,$N$20=9),OQ46,IF(AND($N$8=2,$N$20=2),OR46,IF(AND($N$8=2,$N$20=8),OS46,IF(AND($N$8=1,$N$20=1),OT46,IF(AND($N$8=1,$N$20=1),OT46,IF(AND($N$8=1,$N$20=4),OU46,IF(AND($N$8=1,$N$20=5),OV46,IF(AND($N$8=1,$N$20=11),OW46,IF(AND($N$8=1,$N$20=7),OX46,IF(AND($N$8=1,$N$20=3),OY46,IF(AND($N$8=1,$N$20=6),OZ46,IF(AND($N$8=1,$N$20=9),PA46,IF(AND($N$8=1,$N$20=2),PB46,0))))))))))))))))))))</f>
        <v>0</v>
      </c>
      <c r="PD46" s="77">
        <v>111630</v>
      </c>
      <c r="PE46" s="72">
        <v>111631</v>
      </c>
      <c r="PF46" s="72">
        <v>111632</v>
      </c>
      <c r="PG46" s="72">
        <v>111633</v>
      </c>
      <c r="PH46" s="72">
        <v>111634</v>
      </c>
      <c r="PI46" s="72">
        <v>111635</v>
      </c>
      <c r="PJ46" s="72">
        <v>111636</v>
      </c>
      <c r="PK46" s="72">
        <v>111637</v>
      </c>
      <c r="PL46" s="72">
        <v>111638</v>
      </c>
      <c r="PN46" s="72">
        <v>111620</v>
      </c>
      <c r="PO46" s="72">
        <v>111621</v>
      </c>
      <c r="PP46" s="72">
        <v>111622</v>
      </c>
      <c r="PQ46" s="72">
        <v>111623</v>
      </c>
      <c r="PR46" s="72">
        <v>111624</v>
      </c>
      <c r="PS46" s="72">
        <v>111625</v>
      </c>
      <c r="PT46" s="72">
        <v>111626</v>
      </c>
      <c r="PU46" s="72">
        <v>111627</v>
      </c>
      <c r="PV46" s="72">
        <v>111628</v>
      </c>
      <c r="PW46" s="78">
        <f>IF(AND($N$8=2,$N$20=1),PD46,IF(AND($N$8=2,$N$20=4),PE46,IF(AND($N$8=2,$N$20=5),PF46,IF(AND($N$8=2,$N$20=11),PG46,IF(AND($N$8=2,$N$20=7),PH46,IF(AND($N$8=2,$N$20=3),PI46,IF(AND($N$8=2,$N$20=6),PJ46,IF(AND($N$8=2,$N$20=9),PK46,IF(AND($N$8=2,$N$20=2),PL46,IF(AND($N$8=2,$N$20=8),PM46,IF(AND($N$8=1,$N$20=1),PN46,IF(AND($N$8=1,$N$20=1),PN46,IF(AND($N$8=1,$N$20=4),PO46,IF(AND($N$8=1,$N$20=5),PP46,IF(AND($N$8=1,$N$20=11),PQ46,IF(AND($N$8=1,$N$20=7),PR46,IF(AND($N$8=1,$N$20=3),PS46,IF(AND($N$8=1,$N$20=6),PT46,IF(AND($N$8=1,$N$20=9),PU46,IF(AND($N$8=1,$N$20=2),PV46,0))))))))))))))))))))</f>
        <v>0</v>
      </c>
    </row>
    <row r="47" spans="1:439" ht="32.1" customHeight="1">
      <c r="A47" s="29"/>
      <c r="B47" s="137" t="str">
        <f>VLOOKUP("Stk",Sprachindex!A:Z,Info!$O$6,FALSE)</f>
        <v>STK</v>
      </c>
      <c r="C47" s="135"/>
      <c r="D47" s="136">
        <f>IF(OR(J47=Formeln!A51,J47=Formeln!A52,J47=Formeln!A53,J47=Formeln!A83,J47=Formeln!A84,J47=Formeln!A85),AM47,IF(OR(J47=Formeln!A54,J47=Formeln!A55,J47=Formeln!A56,J47=Formeln!A86,J47=Formeln!A87,J47=Formeln!A88),BG47,IF(OR(J47=Formeln!A57,J47=Formeln!A58,J47=Formeln!A59,J47=Formeln!A60,J47=Formeln!A61,J47=Formeln!A89,J47=Formeln!A90,J47=Formeln!A91,J47=Formeln!A92,J47=Formeln!A93),CA47,IF(OR(J47=Formeln!A62,J47=Formeln!A63,J47=Formeln!A64,J47=Formeln!A94,J47=Formeln!A95,J47=Formeln!A96),CU47,IF(OR(J47=Formeln!A65,J47=Formeln!A66,J47=Formeln!A97,J47=Formeln!A98),DO47,IF(OR(J47=Formeln!A67,J47=Formeln!A68,J47=Formeln!A69,J47=Formeln!A70,J47=Formeln!A71,J47=Formeln!A99,J47=Formeln!A100,J47=Formeln!A101,J47=Formeln!A102,J47=Formeln!A103),EI47,IF(OR(J47=Formeln!A72,J47=Formeln!A73,J47=Formeln!A74,J47=Formeln!A104,J47=Formeln!A105,J47=Formeln!A106),FC47,0)))))))</f>
        <v>0</v>
      </c>
      <c r="E47" s="264" t="str">
        <f>VLOOKUP("PREFA Einfassung für Roto-Dachflächenfenster stucco",Sprachindex!A:Z,Info!$O$6,FALSE)</f>
        <v>PREFA Einfassung für Roto-Dachflächenfenster stucco</v>
      </c>
      <c r="F47" s="265"/>
      <c r="G47" s="265"/>
      <c r="H47" s="265"/>
      <c r="I47" s="145" t="str">
        <f>VLOOKUP("Maße:",Sprachindex!A:Z,Info!$O$6,FALSE)</f>
        <v>Maße:</v>
      </c>
      <c r="J47" s="269"/>
      <c r="K47" s="270"/>
      <c r="L47" s="137" t="str">
        <f t="shared" si="0"/>
        <v/>
      </c>
      <c r="M47" s="138"/>
      <c r="O47" s="1"/>
      <c r="P47" s="11"/>
      <c r="Q47" s="11" t="str">
        <f>ROUNDUP(A47/1,0)*1 &amp;" " &amp; VLOOKUP("Stk",Sprachindex!A:Z,Info!$O$6,FALSE)</f>
        <v>0 STK</v>
      </c>
      <c r="T47" s="72">
        <v>111300</v>
      </c>
      <c r="U47" s="72">
        <v>111301</v>
      </c>
      <c r="V47" s="72">
        <v>111302</v>
      </c>
      <c r="W47" s="72">
        <v>111303</v>
      </c>
      <c r="X47" s="72">
        <v>111304</v>
      </c>
      <c r="Y47" s="72">
        <v>111305</v>
      </c>
      <c r="Z47" s="72">
        <v>111306</v>
      </c>
      <c r="AA47" s="72">
        <v>111307</v>
      </c>
      <c r="AB47" s="72">
        <v>111308</v>
      </c>
      <c r="AD47" s="72">
        <v>111310</v>
      </c>
      <c r="AE47" s="72">
        <v>111311</v>
      </c>
      <c r="AF47" s="72">
        <v>111312</v>
      </c>
      <c r="AG47" s="72">
        <v>111313</v>
      </c>
      <c r="AH47" s="72">
        <v>111314</v>
      </c>
      <c r="AI47" s="72">
        <v>111315</v>
      </c>
      <c r="AJ47" s="72">
        <v>111316</v>
      </c>
      <c r="AK47" s="72">
        <v>111317</v>
      </c>
      <c r="AL47" s="72">
        <v>111318</v>
      </c>
      <c r="AM47" s="78">
        <f>IF(AND($N$8=2,$N$20=1),T47,IF(AND($N$8=2,$N$20=4),U47,IF(AND($N$8=2,$N$20=5),V47,IF(AND($N$8=2,$N$20=11),W47,IF(AND($N$8=2,$N$20=7),X47,IF(AND($N$8=2,$N$20=3),Y47,IF(AND($N$8=2,$N$20=6),Z47,IF(AND($N$8=2,$N$20=9),AA47,IF(AND($N$8=2,$N$20=2),AB47,IF(AND($N$8=2,$N$20=8),AC47,IF(AND($N$8=1,$N$20=1),AD47,IF(AND($N$8=1,$N$20=1),AD47,IF(AND($N$8=1,$N$20=4),AE47,IF(AND($N$8=1,$N$20=5),AF47,IF(AND($N$8=1,$N$20=11),AG47,IF(AND($N$8=1,$N$20=7),AH47,IF(AND($N$8=1,$N$20=3),AI47,IF(AND($N$8=1,$N$20=6),AJ47,IF(AND($N$8=1,$N$20=9),AK47,IF(AND($N$8=1,$N$20=2),AL47,0))))))))))))))))))))</f>
        <v>0</v>
      </c>
      <c r="AN47" s="72">
        <v>111320</v>
      </c>
      <c r="AO47" s="72">
        <v>111321</v>
      </c>
      <c r="AP47" s="72">
        <v>111322</v>
      </c>
      <c r="AQ47" s="72">
        <v>111323</v>
      </c>
      <c r="AR47" s="72">
        <v>111324</v>
      </c>
      <c r="AS47" s="72">
        <v>111325</v>
      </c>
      <c r="AT47" s="72">
        <v>111326</v>
      </c>
      <c r="AU47" s="72">
        <v>111327</v>
      </c>
      <c r="AV47" s="72">
        <v>111328</v>
      </c>
      <c r="AX47" s="72">
        <v>111330</v>
      </c>
      <c r="AY47" s="72">
        <v>111331</v>
      </c>
      <c r="AZ47" s="72">
        <v>111332</v>
      </c>
      <c r="BA47" s="72">
        <v>111333</v>
      </c>
      <c r="BB47" s="72">
        <v>111334</v>
      </c>
      <c r="BC47" s="72">
        <v>111335</v>
      </c>
      <c r="BD47" s="72">
        <v>111336</v>
      </c>
      <c r="BE47" s="72">
        <v>111337</v>
      </c>
      <c r="BF47" s="72">
        <v>111338</v>
      </c>
      <c r="BG47" s="78">
        <f>IF(AND($N$8=2,$N$20=1),AN47,IF(AND($N$8=2,$N$20=4),AO47,IF(AND($N$8=2,$N$20=5),AP47,IF(AND($N$8=2,$N$20=11),AQ47,IF(AND($N$8=2,$N$20=7),AR47,IF(AND($N$8=2,$N$20=3),AS47,IF(AND($N$8=2,$N$20=6),AT47,IF(AND($N$8=2,$N$20=9),AU47,IF(AND($N$8=2,$N$20=2),AV47,IF(AND($N$8=2,$N$20=8),AW47,IF(AND($N$8=1,$N$20=1),AX47,IF(AND($N$8=1,$N$20=1),AX47,IF(AND($N$8=1,$N$20=4),AY47,IF(AND($N$8=1,$N$20=5),AZ47,IF(AND($N$8=1,$N$20=11),BA47,IF(AND($N$8=1,$N$20=7),BB47,IF(AND($N$8=1,$N$20=3),BC47,IF(AND($N$8=1,$N$20=6),BD47,IF(AND($N$8=1,$N$20=9),BE47,IF(AND($N$8=1,$N$20=2),BF47,0))))))))))))))))))))</f>
        <v>0</v>
      </c>
      <c r="BH47" s="72">
        <v>111360</v>
      </c>
      <c r="BI47" s="72">
        <v>111361</v>
      </c>
      <c r="BJ47" s="72">
        <v>111362</v>
      </c>
      <c r="BK47" s="72">
        <v>111363</v>
      </c>
      <c r="BL47" s="72">
        <v>111364</v>
      </c>
      <c r="BM47" s="72">
        <v>111365</v>
      </c>
      <c r="BN47" s="72">
        <v>111366</v>
      </c>
      <c r="BO47" s="72">
        <v>111367</v>
      </c>
      <c r="BP47" s="72">
        <v>111368</v>
      </c>
      <c r="BR47" s="72">
        <v>111370</v>
      </c>
      <c r="BS47" s="72">
        <v>111371</v>
      </c>
      <c r="BT47" s="72">
        <v>111372</v>
      </c>
      <c r="BU47" s="72">
        <v>111373</v>
      </c>
      <c r="BV47" s="72">
        <v>111374</v>
      </c>
      <c r="BW47" s="72">
        <v>111375</v>
      </c>
      <c r="BX47" s="72">
        <v>111376</v>
      </c>
      <c r="BY47" s="72">
        <v>111377</v>
      </c>
      <c r="BZ47" s="72">
        <v>111378</v>
      </c>
      <c r="CA47" s="78">
        <f>IF(AND($N$8=2,$N$20=1),BH47,IF(AND($N$8=2,$N$20=4),BI47,IF(AND($N$8=2,$N$20=5),BJ47,IF(AND($N$8=2,$N$20=11),BK47,IF(AND($N$8=2,$N$20=7),BL47,IF(AND($N$8=2,$N$20=3),BM47,IF(AND($N$8=2,$N$20=6),BN47,IF(AND($N$8=2,$N$20=9),BO47,IF(AND($N$8=2,$N$20=2),BP47,IF(AND($N$8=2,$N$20=8),BQ47,IF(AND($N$8=1,$N$20=1),BR47,IF(AND($N$8=1,$N$20=1),BR47,IF(AND($N$8=1,$N$20=4),BS47,IF(AND($N$8=1,$N$20=5),BT47,IF(AND($N$8=1,$N$20=11),BU47,IF(AND($N$8=1,$N$20=7),BV47,IF(AND($N$8=1,$N$20=3),BW47,IF(AND($N$8=1,$N$20=6),BX47,IF(AND($N$8=1,$N$20=9),BY47,IF(AND($N$8=1,$N$20=2),BZ47,0))))))))))))))))))))</f>
        <v>0</v>
      </c>
      <c r="CB47" s="72">
        <v>111380</v>
      </c>
      <c r="CC47" s="72">
        <v>111381</v>
      </c>
      <c r="CD47" s="72">
        <v>111382</v>
      </c>
      <c r="CE47" s="72">
        <v>111383</v>
      </c>
      <c r="CF47" s="72">
        <v>111384</v>
      </c>
      <c r="CG47" s="72">
        <v>111385</v>
      </c>
      <c r="CH47" s="72">
        <v>111386</v>
      </c>
      <c r="CI47" s="72">
        <v>111387</v>
      </c>
      <c r="CJ47" s="72">
        <v>111388</v>
      </c>
      <c r="CL47" s="72">
        <v>111390</v>
      </c>
      <c r="CM47" s="72">
        <v>111391</v>
      </c>
      <c r="CN47" s="72">
        <v>111392</v>
      </c>
      <c r="CO47" s="72">
        <v>111393</v>
      </c>
      <c r="CP47" s="72">
        <v>111394</v>
      </c>
      <c r="CQ47" s="72">
        <v>111395</v>
      </c>
      <c r="CR47" s="72">
        <v>111396</v>
      </c>
      <c r="CS47" s="72">
        <v>111397</v>
      </c>
      <c r="CT47" s="72">
        <v>111398</v>
      </c>
      <c r="CU47" s="78">
        <f>IF(AND($N$8=2,$N$20=1),CB47,IF(AND($N$8=2,$N$20=4),CC47,IF(AND($N$8=2,$N$20=5),CD47,IF(AND($N$8=2,$N$20=11),CE47,IF(AND($N$8=2,$N$20=7),CF47,IF(AND($N$8=2,$N$20=3),CG47,IF(AND($N$8=2,$N$20=6),CH47,IF(AND($N$8=2,$N$20=9),CI47,IF(AND($N$8=2,$N$20=2),CJ47,IF(AND($N$8=2,$N$20=8),CK47,IF(AND($N$8=1,$N$20=1),CL47,IF(AND($N$8=1,$N$20=1),CL47,IF(AND($N$8=1,$N$20=4),CM47,IF(AND($N$8=1,$N$20=5),CN47,IF(AND($N$8=1,$N$20=11),CO47,IF(AND($N$8=1,$N$20=7),CP47,IF(AND($N$8=1,$N$20=3),CQ47,IF(AND($N$8=1,$N$20=6),CR47,IF(AND($N$8=1,$N$20=9),CS47,IF(AND($N$8=1,$N$20=2),CT47,0))))))))))))))))))))</f>
        <v>0</v>
      </c>
      <c r="CV47" s="72">
        <v>111400</v>
      </c>
      <c r="CW47" s="72">
        <v>111401</v>
      </c>
      <c r="CX47" s="72">
        <v>111402</v>
      </c>
      <c r="CY47" s="72">
        <v>111403</v>
      </c>
      <c r="CZ47" s="72">
        <v>111404</v>
      </c>
      <c r="DA47" s="72">
        <v>111405</v>
      </c>
      <c r="DB47" s="72">
        <v>111406</v>
      </c>
      <c r="DC47" s="72">
        <v>111407</v>
      </c>
      <c r="DD47" s="72">
        <v>111408</v>
      </c>
      <c r="DF47" s="72">
        <v>111410</v>
      </c>
      <c r="DG47" s="72">
        <v>111411</v>
      </c>
      <c r="DH47" s="72">
        <v>111412</v>
      </c>
      <c r="DI47" s="72">
        <v>111413</v>
      </c>
      <c r="DJ47" s="72">
        <v>111414</v>
      </c>
      <c r="DK47" s="72">
        <v>111415</v>
      </c>
      <c r="DL47" s="72">
        <v>111416</v>
      </c>
      <c r="DM47" s="72">
        <v>111417</v>
      </c>
      <c r="DN47" s="72">
        <v>111418</v>
      </c>
      <c r="DO47" s="78">
        <f>IF(AND($N$8=2,$N$20=1),CV47,IF(AND($N$8=2,$N$20=4),CW47,IF(AND($N$8=2,$N$20=5),CX47,IF(AND($N$8=2,$N$20=11),CY47,IF(AND($N$8=2,$N$20=7),CZ47,IF(AND($N$8=2,$N$20=3),DA47,IF(AND($N$8=2,$N$20=6),DB47,IF(AND($N$8=2,$N$20=9),DC47,IF(AND($N$8=2,$N$20=2),DD47,IF(AND($N$8=2,$N$20=8),DE47,IF(AND($N$8=1,$N$20=1),DF47,IF(AND($N$8=1,$N$20=1),DF47,IF(AND($N$8=1,$N$20=4),DG47,IF(AND($N$8=1,$N$20=5),DH47,IF(AND($N$8=1,$N$20=11),DI47,IF(AND($N$8=1,$N$20=7),DJ47,IF(AND($N$8=1,$N$20=3),DK47,IF(AND($N$8=1,$N$20=6),DL47,IF(AND($N$8=1,$N$20=9),DM47,IF(AND($N$8=1,$N$20=2),DN47,0))))))))))))))))))))</f>
        <v>0</v>
      </c>
      <c r="DP47" s="72">
        <v>111420</v>
      </c>
      <c r="DQ47" s="72">
        <v>111421</v>
      </c>
      <c r="DR47" s="72">
        <v>111422</v>
      </c>
      <c r="DS47" s="72">
        <v>111423</v>
      </c>
      <c r="DT47" s="72">
        <v>111424</v>
      </c>
      <c r="DU47" s="72">
        <v>111425</v>
      </c>
      <c r="DV47" s="72">
        <v>111426</v>
      </c>
      <c r="DW47" s="72">
        <v>111427</v>
      </c>
      <c r="DX47" s="72">
        <v>111428</v>
      </c>
      <c r="DZ47" s="72">
        <v>111430</v>
      </c>
      <c r="EA47" s="72">
        <v>111431</v>
      </c>
      <c r="EB47" s="72">
        <v>111432</v>
      </c>
      <c r="EC47" s="72">
        <v>111433</v>
      </c>
      <c r="ED47" s="72">
        <v>111434</v>
      </c>
      <c r="EE47" s="72">
        <v>111435</v>
      </c>
      <c r="EF47" s="72">
        <v>111436</v>
      </c>
      <c r="EG47" s="72">
        <v>111437</v>
      </c>
      <c r="EH47" s="72">
        <v>111438</v>
      </c>
      <c r="EI47" s="78">
        <f>IF(AND($N$8=2,$N$20=1),DP47,IF(AND($N$8=2,$N$20=4),DQ47,IF(AND($N$8=2,$N$20=5),DR47,IF(AND($N$8=2,$N$20=11),DS47,IF(AND($N$8=2,$N$20=7),DT47,IF(AND($N$8=2,$N$20=3),DU47,IF(AND($N$8=2,$N$20=6),DV47,IF(AND($N$8=2,$N$20=9),DW47,IF(AND($N$8=2,$N$20=2),DX47,IF(AND($N$8=2,$N$20=8),DY47,IF(AND($N$8=1,$N$20=1),DZ47,IF(AND($N$8=1,$N$20=1),DZ47,IF(AND($N$8=1,$N$20=4),EA47,IF(AND($N$8=1,$N$20=5),EB47,IF(AND($N$8=1,$N$20=11),EC47,IF(AND($N$8=1,$N$20=7),ED47,IF(AND($N$8=1,$N$20=3),EE47,IF(AND($N$8=1,$N$20=6),EF47,IF(AND($N$8=1,$N$20=9),EG47,IF(AND($N$8=1,$N$20=2),EH47,0))))))))))))))))))))</f>
        <v>0</v>
      </c>
      <c r="EJ47" s="72">
        <v>111440</v>
      </c>
      <c r="EK47" s="72">
        <v>111441</v>
      </c>
      <c r="EL47" s="72">
        <v>111442</v>
      </c>
      <c r="EM47" s="72">
        <v>111443</v>
      </c>
      <c r="EN47" s="72">
        <v>111444</v>
      </c>
      <c r="EO47" s="72">
        <v>111445</v>
      </c>
      <c r="EP47" s="72">
        <v>111446</v>
      </c>
      <c r="EQ47" s="72">
        <v>111447</v>
      </c>
      <c r="ER47" s="72">
        <v>111448</v>
      </c>
      <c r="ET47" s="72">
        <v>111450</v>
      </c>
      <c r="EU47" s="72">
        <v>111451</v>
      </c>
      <c r="EV47" s="72">
        <v>111452</v>
      </c>
      <c r="EW47" s="72">
        <v>111453</v>
      </c>
      <c r="EX47" s="72">
        <v>111454</v>
      </c>
      <c r="EY47" s="72">
        <v>111455</v>
      </c>
      <c r="EZ47" s="72">
        <v>111456</v>
      </c>
      <c r="FA47" s="72">
        <v>111457</v>
      </c>
      <c r="FB47" s="72">
        <v>111458</v>
      </c>
      <c r="FC47" s="78">
        <f>IF(AND($N$8=2,$N$20=1),EJ47,IF(AND($N$8=2,$N$20=4),EK47,IF(AND($N$8=2,$N$20=5),EL47,IF(AND($N$8=2,$N$20=11),EM47,IF(AND($N$8=2,$N$20=7),EN47,IF(AND($N$8=2,$N$20=3),EO47,IF(AND($N$8=2,$N$20=6),EP47,IF(AND($N$8=2,$N$20=9),EQ47,IF(AND($N$8=2,$N$20=2),ER47,IF(AND($N$8=2,$N$20=8),ES47,IF(AND($N$8=1,$N$20=1),ET47,IF(AND($N$8=1,$N$20=1),ET47,IF(AND($N$8=1,$N$20=4),EU47,IF(AND($N$8=1,$N$20=5),EV47,IF(AND($N$8=1,$N$20=11),EW47,IF(AND($N$8=1,$N$20=7),EX47,IF(AND($N$8=1,$N$20=3),EY47,IF(AND($N$8=1,$N$20=6),EZ47,IF(AND($N$8=1,$N$20=9),FA47,IF(AND($N$8=1,$N$20=2),FB47,0))))))))))))))))))))</f>
        <v>0</v>
      </c>
      <c r="FW47" s="78"/>
      <c r="GQ47" s="78"/>
      <c r="HK47" s="78"/>
      <c r="IE47" s="78"/>
      <c r="IY47" s="78"/>
      <c r="JS47" s="78"/>
      <c r="KM47" s="78"/>
      <c r="LG47" s="78"/>
      <c r="MA47" s="78"/>
      <c r="MU47" s="78"/>
      <c r="NO47" s="78"/>
      <c r="OI47" s="78"/>
      <c r="PC47" s="78"/>
      <c r="PW47" s="78"/>
    </row>
    <row r="48" spans="1:439" ht="32.1" customHeight="1">
      <c r="A48" s="29"/>
      <c r="B48" s="137" t="str">
        <f>VLOOKUP("Stk",Sprachindex!A:Z,Info!$O$6,FALSE)</f>
        <v>STK</v>
      </c>
      <c r="C48" s="135"/>
      <c r="D48" s="136">
        <f>IF($N$20=1,T48,IF($N$20=4,U48,IF($N$20=5,V48,IF($N$20=11,W48,IF($N$20=7,X48,IF($N$20=3,Y48,IF($N$20=6,Z48,IF($N$20=9,AA48,IF($N$20=2,AB48,IF($N$20=8,AC48,0))))))))))</f>
        <v>0</v>
      </c>
      <c r="E48" s="264" t="str">
        <f>VLOOKUP("PREFA Einzeltritt inkl. zwei Fußteilen",Sprachindex!A:Z,Info!$O$6,FALSE)</f>
        <v>PREFA Einzeltritt inkl. zwei Fußteilen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38"/>
      <c r="O48" s="1"/>
      <c r="P48" s="11"/>
      <c r="Q48" s="11" t="str">
        <f>ROUNDUP(A48/1,0)*1 &amp;" " &amp; VLOOKUP("Stk",Sprachindex!A:Z,Info!$O$6,FALSE)</f>
        <v>0 STK</v>
      </c>
      <c r="T48" s="72">
        <v>120070</v>
      </c>
      <c r="U48" s="72">
        <v>120071</v>
      </c>
      <c r="V48" s="72">
        <v>120072</v>
      </c>
      <c r="W48" s="72">
        <v>120073</v>
      </c>
      <c r="X48" s="72">
        <v>120074</v>
      </c>
      <c r="Y48" s="72">
        <v>120075</v>
      </c>
      <c r="Z48" s="72">
        <v>120076</v>
      </c>
      <c r="AA48" s="72">
        <v>120077</v>
      </c>
      <c r="AB48" s="72">
        <v>120078</v>
      </c>
      <c r="AC48" s="72">
        <v>649020</v>
      </c>
    </row>
    <row r="49" spans="1:39" ht="32.1" customHeight="1">
      <c r="A49" s="29"/>
      <c r="B49" s="137" t="str">
        <f>VLOOKUP("Stk",Sprachindex!A:Z,Info!$O$6,FALSE)</f>
        <v>STK</v>
      </c>
      <c r="C49" s="135"/>
      <c r="D49" s="136">
        <f t="shared" ref="D49:D53" si="2">IF($N$20=1,T49,IF($N$20=4,U49,IF($N$20=5,V49,IF($N$20=11,W49,IF($N$20=7,X49,IF($N$20=3,Y49,IF($N$20=6,Z49,IF($N$20=9,AA49,IF($N$20=2,AB49,IF($N$20=8,AC49,0))))))))))</f>
        <v>0</v>
      </c>
      <c r="E49" s="264" t="str">
        <f>VLOOKUP("PREFA Laufstegstütze verzinkt für Laufstege",Sprachindex!A:Z,Info!$O$6,FALSE)</f>
        <v>PREFA Laufstegstütze verzinkt für Laufstege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38"/>
      <c r="O49" s="1"/>
      <c r="P49" s="11"/>
      <c r="Q49" s="11" t="str">
        <f>ROUNDUP(A49/1,0)*1 &amp;" " &amp; VLOOKUP("Stk",Sprachindex!A:Z,Info!$O$6,FALSE)</f>
        <v>0 STK</v>
      </c>
      <c r="T49" s="72">
        <v>120040</v>
      </c>
      <c r="U49" s="72">
        <v>120041</v>
      </c>
      <c r="V49" s="72">
        <v>120042</v>
      </c>
      <c r="W49" s="72">
        <v>120043</v>
      </c>
      <c r="X49" s="72">
        <v>120044</v>
      </c>
      <c r="Y49" s="72">
        <v>120045</v>
      </c>
      <c r="Z49" s="72">
        <v>120046</v>
      </c>
      <c r="AA49" s="72">
        <v>120047</v>
      </c>
      <c r="AB49" s="72">
        <v>120048</v>
      </c>
      <c r="AC49" s="72">
        <v>649220</v>
      </c>
    </row>
    <row r="50" spans="1:39" ht="32.1" customHeight="1">
      <c r="A50" s="29"/>
      <c r="B50" s="137" t="str">
        <f>VLOOKUP("Stk",Sprachindex!A:Z,Info!$O$6,FALSE)</f>
        <v>STK</v>
      </c>
      <c r="C50" s="135"/>
      <c r="D50" s="136">
        <f t="shared" si="2"/>
        <v>0</v>
      </c>
      <c r="E50" s="264" t="str">
        <f>VLOOKUP("PREFA Laufsteg (250 x 1.200 mm)",Sprachindex!A:Z,Info!$O$6,FALSE)</f>
        <v>PREFA Laufsteg (250 x 1.200 mm)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38"/>
      <c r="O50" s="1"/>
      <c r="P50" s="11"/>
      <c r="Q50" s="11" t="str">
        <f>ROUNDUP(A50/1,0)*1 &amp;" " &amp; VLOOKUP("Stk",Sprachindex!A:Z,Info!$O$6,FALSE)</f>
        <v>0 STK</v>
      </c>
      <c r="T50" s="72">
        <v>120030</v>
      </c>
      <c r="U50" s="72">
        <v>120031</v>
      </c>
      <c r="V50" s="72">
        <v>120032</v>
      </c>
      <c r="W50" s="72">
        <v>120033</v>
      </c>
      <c r="X50" s="72">
        <v>120034</v>
      </c>
      <c r="Y50" s="72">
        <v>120035</v>
      </c>
      <c r="Z50" s="72">
        <v>120036</v>
      </c>
      <c r="AA50" s="72">
        <v>120037</v>
      </c>
      <c r="AB50" s="72">
        <v>120038</v>
      </c>
      <c r="AC50" s="72">
        <v>649221</v>
      </c>
    </row>
    <row r="51" spans="1:39" ht="32.1" customHeight="1">
      <c r="A51" s="29"/>
      <c r="B51" s="137" t="str">
        <f>VLOOKUP("Stk",Sprachindex!A:Z,Info!$O$6,FALSE)</f>
        <v>STK</v>
      </c>
      <c r="C51" s="135"/>
      <c r="D51" s="136">
        <f t="shared" si="2"/>
        <v>0</v>
      </c>
      <c r="E51" s="264" t="str">
        <f>VLOOKUP("PREFA Laufsteg (250 x 800 mm)",Sprachindex!A:Z,Info!$O$6,FALSE)</f>
        <v>PREFA Laufsteg (250 x 800 mm)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38"/>
      <c r="O51" s="1"/>
      <c r="P51" s="11"/>
      <c r="Q51" s="11" t="str">
        <f>ROUNDUP(A51/1,0)*1 &amp;" " &amp; VLOOKUP("Stk",Sprachindex!A:Z,Info!$O$6,FALSE)</f>
        <v>0 STK</v>
      </c>
      <c r="T51" s="72">
        <v>120020</v>
      </c>
      <c r="U51" s="72">
        <v>120021</v>
      </c>
      <c r="V51" s="72">
        <v>120022</v>
      </c>
      <c r="W51" s="72">
        <v>120023</v>
      </c>
      <c r="X51" s="72">
        <v>120024</v>
      </c>
      <c r="Y51" s="72">
        <v>120025</v>
      </c>
      <c r="Z51" s="72">
        <v>120026</v>
      </c>
      <c r="AA51" s="72">
        <v>120027</v>
      </c>
      <c r="AB51" s="72">
        <v>120028</v>
      </c>
      <c r="AC51" s="72">
        <v>649050</v>
      </c>
    </row>
    <row r="52" spans="1:39" ht="32.1" customHeight="1">
      <c r="A52" s="29"/>
      <c r="B52" s="137" t="str">
        <f>VLOOKUP("Stk",Sprachindex!A:Z,Info!$O$6,FALSE)</f>
        <v>STK</v>
      </c>
      <c r="C52" s="135"/>
      <c r="D52" s="136">
        <f t="shared" si="2"/>
        <v>0</v>
      </c>
      <c r="E52" s="264" t="str">
        <f>VLOOKUP("PREFA Laufsteg (250 x 600 mm)",Sprachindex!A:Z,Info!$O$6,FALSE)</f>
        <v>PREFA Laufsteg (250 x 600 mm)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38"/>
      <c r="O52" s="1"/>
      <c r="P52" s="11"/>
      <c r="Q52" s="11" t="str">
        <f>ROUNDUP(A52/1,0)*1 &amp;" " &amp; VLOOKUP("Stk",Sprachindex!A:Z,Info!$O$6,FALSE)</f>
        <v>0 STK</v>
      </c>
      <c r="T52" s="72">
        <v>120060</v>
      </c>
      <c r="U52" s="72">
        <v>120061</v>
      </c>
      <c r="V52" s="72">
        <v>120062</v>
      </c>
      <c r="W52" s="72">
        <v>120063</v>
      </c>
      <c r="X52" s="72">
        <v>120064</v>
      </c>
      <c r="Y52" s="72">
        <v>120065</v>
      </c>
      <c r="Z52" s="72">
        <v>120066</v>
      </c>
      <c r="AA52" s="72">
        <v>120067</v>
      </c>
      <c r="AB52" s="72">
        <v>120068</v>
      </c>
      <c r="AC52" s="72">
        <v>649070</v>
      </c>
    </row>
    <row r="53" spans="1:39" ht="32.1" customHeight="1">
      <c r="A53" s="29"/>
      <c r="B53" s="137" t="str">
        <f>VLOOKUP("Stk",Sprachindex!A:Z,Info!$O$6,FALSE)</f>
        <v>STK</v>
      </c>
      <c r="C53" s="135"/>
      <c r="D53" s="136">
        <f t="shared" si="2"/>
        <v>0</v>
      </c>
      <c r="E53" s="264" t="str">
        <f>VLOOKUP("PREFA Laufsteg (250 x 420 mm)",Sprachindex!A:Z,Info!$O$6,FALSE)</f>
        <v>PREFA Laufsteg (250 x 420 mm)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38"/>
      <c r="O53" s="1"/>
      <c r="P53" s="11"/>
      <c r="Q53" s="11" t="str">
        <f>ROUNDUP(A53/1,0)*1 &amp;" " &amp; VLOOKUP("Stk",Sprachindex!A:Z,Info!$O$6,FALSE)</f>
        <v>0 STK</v>
      </c>
      <c r="T53" s="72">
        <v>120010</v>
      </c>
      <c r="U53" s="72">
        <v>120011</v>
      </c>
      <c r="V53" s="72">
        <v>120012</v>
      </c>
      <c r="W53" s="72">
        <v>120013</v>
      </c>
      <c r="X53" s="72">
        <v>120014</v>
      </c>
      <c r="Y53" s="72">
        <v>120015</v>
      </c>
      <c r="Z53" s="72">
        <v>120016</v>
      </c>
      <c r="AA53" s="72">
        <v>120017</v>
      </c>
      <c r="AB53" s="72">
        <v>120018</v>
      </c>
      <c r="AC53" s="72">
        <v>649030</v>
      </c>
    </row>
    <row r="54" spans="1:39" ht="32.1" customHeight="1">
      <c r="A54" s="29"/>
      <c r="B54" s="137" t="str">
        <f>VLOOKUP("Stk",Sprachindex!A:Z,Info!$O$6,FALSE)</f>
        <v>STK</v>
      </c>
      <c r="C54" s="135"/>
      <c r="D54" s="142">
        <v>649001</v>
      </c>
      <c r="E54" s="264" t="str">
        <f>VLOOKUP("PREFA Verbinder verzinkt für Laufsteg",Sprachindex!A:Z,Info!$O$6,FALSE)</f>
        <v>PREFA Verbinder verzinkt für Laufsteg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38"/>
      <c r="O54" s="1"/>
      <c r="P54" s="11"/>
      <c r="Q54" s="11" t="str">
        <f>ROUNDUP(A54/1,0)*1 &amp;" " &amp; VLOOKUP("Stk",Sprachindex!A:Z,Info!$O$6,FALSE)</f>
        <v>0 STK</v>
      </c>
      <c r="T54" s="75" t="s">
        <v>1554</v>
      </c>
      <c r="U54" s="75" t="s">
        <v>1555</v>
      </c>
      <c r="V54" s="75" t="s">
        <v>1556</v>
      </c>
      <c r="W54" s="75" t="s">
        <v>1557</v>
      </c>
      <c r="X54" s="75" t="s">
        <v>1558</v>
      </c>
      <c r="Y54" s="75" t="s">
        <v>1559</v>
      </c>
      <c r="Z54" s="75" t="s">
        <v>1560</v>
      </c>
      <c r="AA54" s="75" t="s">
        <v>1561</v>
      </c>
      <c r="AB54" s="75" t="s">
        <v>1562</v>
      </c>
      <c r="AC54" s="75" t="s">
        <v>1563</v>
      </c>
      <c r="AD54" s="75" t="s">
        <v>1554</v>
      </c>
      <c r="AE54" s="75" t="s">
        <v>1555</v>
      </c>
      <c r="AF54" s="75" t="s">
        <v>1556</v>
      </c>
      <c r="AG54" s="75" t="s">
        <v>1557</v>
      </c>
      <c r="AH54" s="75" t="s">
        <v>1558</v>
      </c>
      <c r="AI54" s="75" t="s">
        <v>1559</v>
      </c>
      <c r="AJ54" s="75" t="s">
        <v>1560</v>
      </c>
      <c r="AK54" s="75" t="s">
        <v>1561</v>
      </c>
      <c r="AL54" s="75" t="s">
        <v>1562</v>
      </c>
      <c r="AM54" s="75" t="s">
        <v>1563</v>
      </c>
    </row>
    <row r="55" spans="1:39" ht="32.1" customHeight="1">
      <c r="A55" s="29"/>
      <c r="B55" s="137" t="str">
        <f>VLOOKUP("Stk",Sprachindex!A:Z,Info!$O$6,FALSE)</f>
        <v>STK</v>
      </c>
      <c r="C55" s="146"/>
      <c r="D55" s="142">
        <v>635661</v>
      </c>
      <c r="E55" s="264" t="str">
        <f>VLOOKUP("PREFA Dach-Sicherheitshaken nach EN 517B auf Fussteilen",Sprachindex!A:Z,Info!$O$6,FALSE)</f>
        <v>PREFA Dach-Sicherheitshaken nach EN 517B auf Fussteilen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47"/>
      <c r="O55" s="1"/>
      <c r="P55" s="11"/>
      <c r="Q55" s="11" t="str">
        <f>ROUNDUP(A55/1,0)*1 &amp;" " &amp; VLOOKUP("Stk",Sprachindex!A:Z,Info!$O$6,FALSE)</f>
        <v>0 STK</v>
      </c>
    </row>
    <row r="56" spans="1:39" ht="32.1" customHeight="1">
      <c r="A56" s="29"/>
      <c r="B56" s="137" t="str">
        <f>VLOOKUP("Stk",Sprachindex!A:Z,Info!$O$6,FALSE)</f>
        <v>STK</v>
      </c>
      <c r="C56" s="146"/>
      <c r="D56" s="136">
        <f t="shared" ref="D56:D61" si="3">IF($N$20=1,T56,IF($N$20=4,U56,IF($N$20=5,V56,IF($N$20=11,W56,IF($N$20=7,X56,IF($N$20=3,Y56,IF($N$20=6,Z56,IF($N$20=9,AA56,IF($N$20=2,AB56,IF($N$20=8,AC56,0))))))))))</f>
        <v>0</v>
      </c>
      <c r="E56" s="264" t="str">
        <f>VLOOKUP("PREFA Dach-Sicherheitshaken nach EN 517B",Sprachindex!A:Z,Info!$O$6,FALSE)</f>
        <v>PREFA Dach-Sicherheitshaken nach EN 517B</v>
      </c>
      <c r="F56" s="265"/>
      <c r="G56" s="265"/>
      <c r="H56" s="265"/>
      <c r="I56" s="265"/>
      <c r="J56" s="265"/>
      <c r="K56" s="266"/>
      <c r="L56" s="137" t="str">
        <f t="shared" si="0"/>
        <v/>
      </c>
      <c r="M56" s="147"/>
      <c r="O56" s="1"/>
      <c r="P56" s="11"/>
      <c r="Q56" s="11" t="str">
        <f>ROUNDUP(A56/1,0)*1 &amp;" " &amp; VLOOKUP("Stk",Sprachindex!A:Z,Info!$O$6,FALSE)</f>
        <v>0 STK</v>
      </c>
      <c r="T56" s="72">
        <v>120000</v>
      </c>
      <c r="U56" s="72">
        <v>120001</v>
      </c>
      <c r="V56" s="72">
        <v>120002</v>
      </c>
      <c r="W56" s="72">
        <v>120003</v>
      </c>
      <c r="X56" s="72">
        <v>120004</v>
      </c>
      <c r="Y56" s="72">
        <v>120005</v>
      </c>
      <c r="Z56" s="72">
        <v>120006</v>
      </c>
      <c r="AA56" s="72">
        <v>120007</v>
      </c>
      <c r="AB56" s="72">
        <v>120008</v>
      </c>
      <c r="AC56" s="72">
        <v>635550</v>
      </c>
    </row>
    <row r="57" spans="1:39" ht="32.1" customHeight="1">
      <c r="A57" s="29"/>
      <c r="B57" s="137" t="str">
        <f>VLOOKUP("Stk",Sprachindex!A:Z,Info!$O$6,FALSE)</f>
        <v>STK</v>
      </c>
      <c r="C57" s="146"/>
      <c r="D57" s="136">
        <f t="shared" si="3"/>
        <v>0</v>
      </c>
      <c r="E57" s="264" t="str">
        <f>VLOOKUP("PREFA Einfassungsplatte für Dachplatte, glatt, Ø 80 - 125 mm",Sprachindex!A:Z,Info!$O$6,FALSE)</f>
        <v>PREFA Einfassungsplatte für Dachplatte, glatt, Ø 80 - 125 mm</v>
      </c>
      <c r="F57" s="265"/>
      <c r="G57" s="265"/>
      <c r="H57" s="265"/>
      <c r="I57" s="265"/>
      <c r="J57" s="265"/>
      <c r="K57" s="266"/>
      <c r="L57" s="137" t="str">
        <f t="shared" ref="L57:L86" si="4">IF(A57=0,"",IF($N$10=1,P57,Q57))</f>
        <v/>
      </c>
      <c r="M57" s="147"/>
      <c r="O57" s="1"/>
      <c r="P57" s="11"/>
      <c r="Q57" s="11" t="str">
        <f>ROUNDUP(A57/1,0)*1 &amp;" " &amp; VLOOKUP("Stk",Sprachindex!A:Z,Info!$O$6,FALSE)</f>
        <v>0 STK</v>
      </c>
      <c r="T57" s="72">
        <v>110220</v>
      </c>
      <c r="U57" s="72">
        <v>110221</v>
      </c>
      <c r="V57" s="72">
        <v>110222</v>
      </c>
      <c r="W57" s="72">
        <v>110223</v>
      </c>
      <c r="X57" s="72">
        <v>110224</v>
      </c>
      <c r="Y57" s="72">
        <v>110225</v>
      </c>
      <c r="Z57" s="72">
        <v>110226</v>
      </c>
      <c r="AA57" s="72">
        <v>110227</v>
      </c>
      <c r="AB57" s="72">
        <v>110228</v>
      </c>
      <c r="AC57" s="72">
        <v>513030</v>
      </c>
    </row>
    <row r="58" spans="1:39" ht="32.1" customHeight="1">
      <c r="A58" s="29"/>
      <c r="B58" s="137" t="str">
        <f>VLOOKUP("Stk",Sprachindex!A:Z,Info!$O$6,FALSE)</f>
        <v>STK</v>
      </c>
      <c r="C58" s="146"/>
      <c r="D58" s="136">
        <f t="shared" si="3"/>
        <v>0</v>
      </c>
      <c r="E58" s="264" t="str">
        <f>VLOOKUP("PREFA Universaleinfassung 2-teilig, glatt, Ø 40 - 120 mm",Sprachindex!A:Z,Info!$O$6,FALSE)</f>
        <v>PREFA Universaleinfassung 2-teilig, glatt, Ø 40 - 120 mm</v>
      </c>
      <c r="F58" s="265"/>
      <c r="G58" s="265"/>
      <c r="H58" s="265"/>
      <c r="I58" s="265"/>
      <c r="J58" s="265"/>
      <c r="K58" s="266"/>
      <c r="L58" s="137" t="str">
        <f t="shared" si="4"/>
        <v/>
      </c>
      <c r="M58" s="147"/>
      <c r="O58" s="1"/>
      <c r="P58" s="11"/>
      <c r="Q58" s="11" t="str">
        <f>ROUNDUP(A58/1,0)*1 &amp;" " &amp; VLOOKUP("Stk",Sprachindex!A:Z,Info!$O$6,FALSE)</f>
        <v>0 STK</v>
      </c>
      <c r="T58" s="72">
        <v>110240</v>
      </c>
      <c r="U58" s="72">
        <v>110241</v>
      </c>
      <c r="V58" s="72">
        <v>110242</v>
      </c>
      <c r="W58" s="72">
        <v>110243</v>
      </c>
      <c r="X58" s="72">
        <v>110244</v>
      </c>
      <c r="Y58" s="72">
        <v>110245</v>
      </c>
      <c r="Z58" s="72">
        <v>110246</v>
      </c>
      <c r="AA58" s="72">
        <v>110247</v>
      </c>
      <c r="AB58" s="72">
        <v>110248</v>
      </c>
      <c r="AC58" s="72">
        <v>513032</v>
      </c>
    </row>
    <row r="59" spans="1:39" ht="32.1" customHeight="1">
      <c r="A59" s="29"/>
      <c r="B59" s="137" t="str">
        <f>VLOOKUP("Stk",Sprachindex!A:Z,Info!$O$6,FALSE)</f>
        <v>STK</v>
      </c>
      <c r="C59" s="146"/>
      <c r="D59" s="136">
        <f t="shared" si="3"/>
        <v>0</v>
      </c>
      <c r="E59" s="264" t="str">
        <f>VLOOKUP("PREFA Entlüftungshaube Ø 100, glatt",Sprachindex!A:Z,Info!$O$6,FALSE)</f>
        <v>PREFA Entlüftungshaube Ø 100, glatt</v>
      </c>
      <c r="F59" s="265"/>
      <c r="G59" s="265"/>
      <c r="H59" s="265"/>
      <c r="I59" s="265"/>
      <c r="J59" s="265"/>
      <c r="K59" s="266"/>
      <c r="L59" s="137" t="str">
        <f t="shared" si="4"/>
        <v/>
      </c>
      <c r="M59" s="147"/>
      <c r="O59" s="1"/>
      <c r="P59" s="11"/>
      <c r="Q59" s="11" t="str">
        <f>ROUNDUP(A59/1,0)*1 &amp;" " &amp; VLOOKUP("Stk",Sprachindex!A:Z,Info!$O$6,FALSE)</f>
        <v>0 STK</v>
      </c>
      <c r="T59" s="72">
        <v>110280</v>
      </c>
      <c r="U59" s="72">
        <v>110281</v>
      </c>
      <c r="V59" s="72">
        <v>110282</v>
      </c>
      <c r="W59" s="72">
        <v>110283</v>
      </c>
      <c r="X59" s="72">
        <v>110284</v>
      </c>
      <c r="Y59" s="72">
        <v>110285</v>
      </c>
      <c r="Z59" s="72">
        <v>110286</v>
      </c>
      <c r="AA59" s="72">
        <v>110287</v>
      </c>
      <c r="AB59" s="72">
        <v>110288</v>
      </c>
      <c r="AC59" s="72">
        <v>513006</v>
      </c>
    </row>
    <row r="60" spans="1:39" ht="32.1" customHeight="1">
      <c r="A60" s="29"/>
      <c r="B60" s="137" t="str">
        <f>VLOOKUP("Stk",Sprachindex!A:Z,Info!$O$6,FALSE)</f>
        <v>STK</v>
      </c>
      <c r="C60" s="146"/>
      <c r="D60" s="136">
        <f t="shared" si="3"/>
        <v>0</v>
      </c>
      <c r="E60" s="264" t="str">
        <f>VLOOKUP("PREFA Entlüftungsrohr ⌀ 100, passend für HT-Rohr NW 110",Sprachindex!A:Z,Info!$O$6,FALSE)</f>
        <v>PREFA Entlüftungsrohr ⌀ 100, passend für HT-Rohr NW 110</v>
      </c>
      <c r="F60" s="265"/>
      <c r="G60" s="265"/>
      <c r="H60" s="265"/>
      <c r="I60" s="265"/>
      <c r="J60" s="265"/>
      <c r="K60" s="266"/>
      <c r="L60" s="137" t="str">
        <f t="shared" si="4"/>
        <v/>
      </c>
      <c r="M60" s="147"/>
      <c r="O60" s="1"/>
      <c r="P60" s="11"/>
      <c r="Q60" s="11" t="str">
        <f>ROUNDUP(A60/1,0)*1 &amp;" " &amp; VLOOKUP("Stk",Sprachindex!A:Z,Info!$O$6,FALSE)</f>
        <v>0 STK</v>
      </c>
      <c r="T60" s="72">
        <v>110200</v>
      </c>
      <c r="U60" s="72">
        <v>110201</v>
      </c>
      <c r="V60" s="72">
        <v>110202</v>
      </c>
      <c r="W60" s="72">
        <v>110203</v>
      </c>
      <c r="X60" s="72">
        <v>110204</v>
      </c>
      <c r="Y60" s="72">
        <v>110205</v>
      </c>
      <c r="Z60" s="72">
        <v>110206</v>
      </c>
      <c r="AA60" s="72">
        <v>110207</v>
      </c>
      <c r="AB60" s="72">
        <v>110208</v>
      </c>
      <c r="AC60" s="72">
        <v>513029</v>
      </c>
    </row>
    <row r="61" spans="1:39" ht="32.1" customHeight="1">
      <c r="A61" s="29"/>
      <c r="B61" s="137" t="str">
        <f>VLOOKUP("Stk",Sprachindex!A:Z,Info!$O$6,FALSE)</f>
        <v>STK</v>
      </c>
      <c r="C61" s="146"/>
      <c r="D61" s="136">
        <f t="shared" si="3"/>
        <v>0</v>
      </c>
      <c r="E61" s="264" t="str">
        <f>VLOOKUP("PREFA Entlüftungsrohr ⌀ 120, passend für HT-Rohr NW 125",Sprachindex!A:Z,Info!$O$6,FALSE)</f>
        <v>PREFA Entlüftungsrohr ⌀ 120, passend für HT-Rohr NW 125</v>
      </c>
      <c r="F61" s="265"/>
      <c r="G61" s="265"/>
      <c r="H61" s="265"/>
      <c r="I61" s="265"/>
      <c r="J61" s="265"/>
      <c r="K61" s="266"/>
      <c r="L61" s="137" t="str">
        <f t="shared" si="4"/>
        <v/>
      </c>
      <c r="M61" s="147"/>
      <c r="O61" s="1"/>
      <c r="P61" s="11"/>
      <c r="Q61" s="11" t="str">
        <f>ROUNDUP(A61/1,0)*1 &amp;" " &amp; VLOOKUP("Stk",Sprachindex!A:Z,Info!$O$6,FALSE)</f>
        <v>0 STK</v>
      </c>
      <c r="T61" s="72">
        <v>110210</v>
      </c>
      <c r="U61" s="72">
        <v>110211</v>
      </c>
      <c r="V61" s="72">
        <v>110212</v>
      </c>
      <c r="W61" s="72">
        <v>110213</v>
      </c>
      <c r="X61" s="72">
        <v>110214</v>
      </c>
      <c r="Y61" s="72">
        <v>110215</v>
      </c>
      <c r="Z61" s="72">
        <v>110216</v>
      </c>
      <c r="AA61" s="72">
        <v>110217</v>
      </c>
      <c r="AB61" s="72">
        <v>110218</v>
      </c>
      <c r="AC61" s="72">
        <v>513083</v>
      </c>
    </row>
    <row r="62" spans="1:39" ht="32.1" customHeight="1">
      <c r="A62" s="29"/>
      <c r="B62" s="137" t="str">
        <f>VLOOKUP("Stk",Sprachindex!A:Z,Info!$O$6,FALSE)</f>
        <v>STK</v>
      </c>
      <c r="C62" s="146"/>
      <c r="D62" s="142">
        <v>340943</v>
      </c>
      <c r="E62" s="264" t="str">
        <f>VLOOKUP("PREFA Faltmanschette Ø 100-130",Sprachindex!A:Z,Info!$O$6,FALSE)</f>
        <v>PREFA Faltmanschette Ø 100-130</v>
      </c>
      <c r="F62" s="265"/>
      <c r="G62" s="265"/>
      <c r="H62" s="265"/>
      <c r="I62" s="265"/>
      <c r="J62" s="265"/>
      <c r="K62" s="266"/>
      <c r="L62" s="137" t="str">
        <f t="shared" si="4"/>
        <v/>
      </c>
      <c r="M62" s="147"/>
      <c r="O62" s="1"/>
      <c r="P62" s="11"/>
      <c r="Q62" s="11" t="str">
        <f>ROUNDUP(A62/1,0)*1 &amp;" " &amp; VLOOKUP("Stk",Sprachindex!A:Z,Info!$O$6,FALSE)</f>
        <v>0 STK</v>
      </c>
      <c r="T62" s="75" t="s">
        <v>1554</v>
      </c>
      <c r="U62" s="75" t="s">
        <v>1555</v>
      </c>
      <c r="V62" s="75" t="s">
        <v>1556</v>
      </c>
      <c r="W62" s="75" t="s">
        <v>1557</v>
      </c>
      <c r="X62" s="75" t="s">
        <v>1558</v>
      </c>
      <c r="Y62" s="75" t="s">
        <v>1559</v>
      </c>
      <c r="Z62" s="75" t="s">
        <v>1560</v>
      </c>
      <c r="AA62" s="75" t="s">
        <v>1561</v>
      </c>
      <c r="AB62" s="75" t="s">
        <v>1562</v>
      </c>
      <c r="AC62" s="75" t="s">
        <v>1563</v>
      </c>
      <c r="AD62" s="75" t="s">
        <v>1554</v>
      </c>
      <c r="AE62" s="75" t="s">
        <v>1555</v>
      </c>
      <c r="AF62" s="75" t="s">
        <v>1556</v>
      </c>
      <c r="AG62" s="75" t="s">
        <v>1557</v>
      </c>
      <c r="AH62" s="75" t="s">
        <v>1558</v>
      </c>
      <c r="AI62" s="75" t="s">
        <v>1559</v>
      </c>
      <c r="AJ62" s="75" t="s">
        <v>1560</v>
      </c>
      <c r="AK62" s="75" t="s">
        <v>1561</v>
      </c>
      <c r="AL62" s="75" t="s">
        <v>1562</v>
      </c>
      <c r="AM62" s="75" t="s">
        <v>1563</v>
      </c>
    </row>
    <row r="63" spans="1:39" ht="32.1" customHeight="1">
      <c r="A63" s="29"/>
      <c r="B63" s="137" t="str">
        <f>VLOOKUP("Stk",Sprachindex!A:Z,Info!$O$6,FALSE)</f>
        <v>STK</v>
      </c>
      <c r="C63" s="146"/>
      <c r="D63" s="136">
        <f t="shared" ref="D63" si="5">IF(AND($N$8=2,$N$20=1),T63,IF(AND($N$8=2,$N$20=4),U63,IF(AND($N$8=2,$N$20=5),V63,IF(AND($N$8=2,$N$20=11),W63,IF(AND($N$8=2,$N$20=7),X63,IF(AND($N$8=2,$N$20=3),Y63,IF(AND($N$8=2,$N$20=6),Z63,IF(AND($N$8=2,$N$20=9),AA63,IF(AND($N$8=2,$N$20=2),AB63,IF(AND($N$8=2,$N$20=8),AC63,IF(AND($N$8=1,$N$20=1),AD63,IF(AND($N$8=1,$N$20=1),AD63,IF(AND($N$8=1,$N$20=4),AE63,IF(AND($N$8=1,$N$20=5),AF63,IF(AND($N$8=1,$N$20=11),AG63,IF(AND($N$8=1,$N$20=7),AH63,IF(AND($N$8=1,$N$20=3),AI63,IF(AND($N$8=1,$N$20=6),AJ63,IF(AND($N$8=1,$N$20=9),AK63,IF(AND($N$8=1,$N$20=2),AL63,IF(AND($N$8=1,$N$20=8),AM63,0)))))))))))))))))))))</f>
        <v>0</v>
      </c>
      <c r="E63" s="264" t="str">
        <f>VLOOKUP("PREFA Unterlagsplatte L=540 x B=125 mm, stucco",Sprachindex!A:Z,Info!$O$6,FALSE)</f>
        <v>PREFA Unterlagsplatte L=540 x B=125 mm, stucco</v>
      </c>
      <c r="F63" s="265"/>
      <c r="G63" s="265"/>
      <c r="H63" s="265"/>
      <c r="I63" s="265"/>
      <c r="J63" s="265"/>
      <c r="K63" s="266"/>
      <c r="L63" s="137" t="str">
        <f t="shared" si="4"/>
        <v/>
      </c>
      <c r="M63" s="147"/>
      <c r="O63" s="1"/>
      <c r="P63" s="11"/>
      <c r="Q63" s="11" t="str">
        <f>ROUNDUP(A63/1,0)*1 &amp;" " &amp; VLOOKUP("Stk",Sprachindex!A:Z,Info!$O$6,FALSE)</f>
        <v>0 STK</v>
      </c>
      <c r="T63" s="72">
        <v>110360</v>
      </c>
      <c r="U63" s="72">
        <v>110361</v>
      </c>
      <c r="V63" s="72">
        <v>110362</v>
      </c>
      <c r="W63" s="72">
        <v>110363</v>
      </c>
      <c r="X63" s="72">
        <v>110364</v>
      </c>
      <c r="Y63" s="72">
        <v>110365</v>
      </c>
      <c r="Z63" s="72">
        <v>110366</v>
      </c>
      <c r="AA63" s="72">
        <v>110367</v>
      </c>
      <c r="AB63" s="72">
        <v>110368</v>
      </c>
      <c r="AD63" s="72">
        <v>110370</v>
      </c>
      <c r="AE63" s="72">
        <v>110371</v>
      </c>
      <c r="AF63" s="72">
        <v>110372</v>
      </c>
      <c r="AG63" s="72">
        <v>110373</v>
      </c>
      <c r="AH63" s="72">
        <v>110374</v>
      </c>
      <c r="AI63" s="72">
        <v>110375</v>
      </c>
      <c r="AJ63" s="72">
        <v>110376</v>
      </c>
      <c r="AK63" s="72">
        <v>110377</v>
      </c>
      <c r="AL63" s="72">
        <v>110378</v>
      </c>
    </row>
    <row r="64" spans="1:39" ht="32.1" customHeight="1">
      <c r="A64" s="29"/>
      <c r="B64" s="137" t="str">
        <f>VLOOKUP("Stk",Sprachindex!A:Z,Info!$O$6,FALSE)</f>
        <v>STK</v>
      </c>
      <c r="C64" s="146"/>
      <c r="D64" s="136">
        <f t="shared" ref="D64:D80" si="6">IF($N$20=1,T64,IF($N$20=4,U64,IF($N$20=5,V64,IF($N$20=11,W64,IF($N$20=7,X64,IF($N$20=3,Y64,IF($N$20=6,Z64,IF($N$20=9,AA64,IF($N$20=2,AB64,IF($N$20=8,AC64,0))))))))))</f>
        <v>0</v>
      </c>
      <c r="E64" s="264" t="str">
        <f>VLOOKUP("PREFA Schneestopper für Dachplatte und DACHRAUTE 29 × 29",Sprachindex!A:Z,Info!$O$6,FALSE)</f>
        <v>PREFA Schneestopper für Dachplatte und DACHRAUTE 29 × 29</v>
      </c>
      <c r="F64" s="265"/>
      <c r="G64" s="265"/>
      <c r="H64" s="265"/>
      <c r="I64" s="265"/>
      <c r="J64" s="265"/>
      <c r="K64" s="266"/>
      <c r="L64" s="137" t="str">
        <f t="shared" si="4"/>
        <v/>
      </c>
      <c r="M64" s="147"/>
      <c r="O64" s="1"/>
      <c r="P64" s="11"/>
      <c r="Q64" s="11" t="str">
        <f>ROUNDUP(A64/1,0)*1 &amp;" " &amp; VLOOKUP("Stk",Sprachindex!A:Z,Info!$O$6,FALSE)</f>
        <v>0 STK</v>
      </c>
      <c r="T64" s="72">
        <v>110300</v>
      </c>
      <c r="U64" s="72">
        <v>110301</v>
      </c>
      <c r="V64" s="72">
        <v>110302</v>
      </c>
      <c r="W64" s="72">
        <v>110303</v>
      </c>
      <c r="X64" s="72">
        <v>110304</v>
      </c>
      <c r="Y64" s="72">
        <v>110305</v>
      </c>
      <c r="Z64" s="72">
        <v>110306</v>
      </c>
      <c r="AA64" s="72">
        <v>110307</v>
      </c>
      <c r="AB64" s="72">
        <v>110308</v>
      </c>
      <c r="AC64" s="72">
        <v>516036</v>
      </c>
    </row>
    <row r="65" spans="1:29" ht="32.1" customHeight="1">
      <c r="A65" s="29"/>
      <c r="B65" s="137" t="str">
        <f>VLOOKUP("Stk",Sprachindex!A:Z,Info!$O$6,FALSE)</f>
        <v>STK</v>
      </c>
      <c r="C65" s="146"/>
      <c r="D65" s="136">
        <f t="shared" si="6"/>
        <v>0</v>
      </c>
      <c r="E65" s="264" t="str">
        <f>VLOOKUP("PREFA Schneerechenhaken",Sprachindex!A:Z,Info!$O$6,FALSE)</f>
        <v>PREFA Schneerechenhaken</v>
      </c>
      <c r="F65" s="265"/>
      <c r="G65" s="265"/>
      <c r="H65" s="265"/>
      <c r="I65" s="265"/>
      <c r="J65" s="265"/>
      <c r="K65" s="266"/>
      <c r="L65" s="137" t="str">
        <f t="shared" si="4"/>
        <v/>
      </c>
      <c r="M65" s="147"/>
      <c r="O65" s="1"/>
      <c r="P65" s="11"/>
      <c r="Q65" s="11" t="str">
        <f>ROUNDUP(A65/1,0)*1 &amp;" " &amp; VLOOKUP("Stk",Sprachindex!A:Z,Info!$O$6,FALSE)</f>
        <v>0 STK</v>
      </c>
      <c r="T65" s="72">
        <v>120130</v>
      </c>
      <c r="U65" s="72">
        <v>120131</v>
      </c>
      <c r="V65" s="72">
        <v>120132</v>
      </c>
      <c r="W65" s="72">
        <v>120133</v>
      </c>
      <c r="X65" s="72">
        <v>120134</v>
      </c>
      <c r="Y65" s="72">
        <v>120135</v>
      </c>
      <c r="Z65" s="72">
        <v>120136</v>
      </c>
      <c r="AA65" s="72">
        <v>120137</v>
      </c>
      <c r="AB65" s="72">
        <v>120138</v>
      </c>
      <c r="AC65" s="72">
        <v>515006</v>
      </c>
    </row>
    <row r="66" spans="1:29" ht="32.1" customHeight="1">
      <c r="A66" s="29"/>
      <c r="B66" s="137" t="str">
        <f>VLOOKUP("lfm",Sprachindex!A:Z,Info!$O$6,FALSE)</f>
        <v>lfm</v>
      </c>
      <c r="C66" s="146"/>
      <c r="D66" s="136">
        <f t="shared" si="6"/>
        <v>0</v>
      </c>
      <c r="E66" s="264" t="str">
        <f>VLOOKUP("PREFA Rundstange (15 Ø x 3.000 mm) für Schneerechenhaken",Sprachindex!A:Z,Info!$O$6,FALSE)</f>
        <v>PREFA Rundstange (15 Ø x 3.000 mm) für Schneerechenhaken</v>
      </c>
      <c r="F66" s="265"/>
      <c r="G66" s="265"/>
      <c r="H66" s="265"/>
      <c r="I66" s="265"/>
      <c r="J66" s="265"/>
      <c r="K66" s="266"/>
      <c r="L66" s="137" t="str">
        <f t="shared" si="4"/>
        <v/>
      </c>
      <c r="M66" s="147"/>
      <c r="O66" s="1"/>
      <c r="P66" s="11"/>
      <c r="Q66" s="11" t="str">
        <f>ROUNDUP(A66/3,0)*3 &amp;" " &amp; VLOOKUP("lfm",Sprachindex!A:Z,Info!$O$6,FALSE)</f>
        <v>0 lfm</v>
      </c>
      <c r="T66" s="72">
        <v>120300</v>
      </c>
      <c r="U66" s="72">
        <v>120301</v>
      </c>
      <c r="V66" s="72">
        <v>120302</v>
      </c>
      <c r="W66" s="72">
        <v>120303</v>
      </c>
      <c r="X66" s="72">
        <v>120304</v>
      </c>
      <c r="Y66" s="72">
        <v>120305</v>
      </c>
      <c r="Z66" s="72">
        <v>120306</v>
      </c>
      <c r="AA66" s="72">
        <v>120307</v>
      </c>
      <c r="AB66" s="72">
        <v>120308</v>
      </c>
      <c r="AC66" s="72">
        <v>569003</v>
      </c>
    </row>
    <row r="67" spans="1:29" ht="32.1" customHeight="1">
      <c r="A67" s="29"/>
      <c r="B67" s="137" t="str">
        <f>VLOOKUP("Stk",Sprachindex!A:Z,Info!$O$6,FALSE)</f>
        <v>STK</v>
      </c>
      <c r="C67" s="146"/>
      <c r="D67" s="136">
        <f t="shared" si="6"/>
        <v>0</v>
      </c>
      <c r="E67" s="264" t="str">
        <f>VLOOKUP("PREFA Abschluss für Schneerechen",Sprachindex!A:Z,Info!$O$6,FALSE)</f>
        <v>PREFA Abschluss für Schneerechen</v>
      </c>
      <c r="F67" s="265"/>
      <c r="G67" s="265"/>
      <c r="H67" s="265"/>
      <c r="I67" s="265"/>
      <c r="J67" s="265"/>
      <c r="K67" s="266"/>
      <c r="L67" s="137" t="str">
        <f t="shared" si="4"/>
        <v/>
      </c>
      <c r="M67" s="147"/>
      <c r="O67" s="1"/>
      <c r="P67" s="11"/>
      <c r="Q67" s="11" t="str">
        <f>ROUNDUP(A67/1,0)*1 &amp;" " &amp; VLOOKUP("Stk",Sprachindex!A:Z,Info!$O$6,FALSE)</f>
        <v>0 STK</v>
      </c>
      <c r="T67" s="72">
        <v>120380</v>
      </c>
      <c r="U67" s="72">
        <v>120381</v>
      </c>
      <c r="V67" s="72">
        <v>120382</v>
      </c>
      <c r="W67" s="72">
        <v>120383</v>
      </c>
      <c r="X67" s="72">
        <v>120384</v>
      </c>
      <c r="Y67" s="72">
        <v>120385</v>
      </c>
      <c r="Z67" s="72">
        <v>120386</v>
      </c>
      <c r="AA67" s="72">
        <v>120387</v>
      </c>
      <c r="AB67" s="72">
        <v>120388</v>
      </c>
      <c r="AC67" s="72">
        <v>537170</v>
      </c>
    </row>
    <row r="68" spans="1:29" ht="32.1" customHeight="1">
      <c r="A68" s="29"/>
      <c r="B68" s="137" t="str">
        <f>VLOOKUP("Stk",Sprachindex!A:Z,Info!$O$6,FALSE)</f>
        <v>STK</v>
      </c>
      <c r="C68" s="146"/>
      <c r="D68" s="136">
        <f t="shared" si="6"/>
        <v>0</v>
      </c>
      <c r="E68" s="264" t="str">
        <f>VLOOKUP("PREFA Schneerechensystem (205 x 66 x 303 mm)",Sprachindex!A:Z,Info!$O$6,FALSE)</f>
        <v>PREFA Schneerechensystem (205 x 66 x 303 mm)</v>
      </c>
      <c r="F68" s="265"/>
      <c r="G68" s="265"/>
      <c r="H68" s="265"/>
      <c r="I68" s="265"/>
      <c r="J68" s="265"/>
      <c r="K68" s="266"/>
      <c r="L68" s="137" t="str">
        <f t="shared" si="4"/>
        <v/>
      </c>
      <c r="M68" s="147"/>
      <c r="O68" s="1"/>
      <c r="P68" s="11"/>
      <c r="Q68" s="11" t="str">
        <f>ROUNDUP(A68/2,0)*2 &amp;" " &amp; VLOOKUP("Stk",Sprachindex!A:Z,Info!$O$6,FALSE)</f>
        <v>0 STK</v>
      </c>
      <c r="T68" s="72">
        <v>120180</v>
      </c>
      <c r="U68" s="72">
        <v>120181</v>
      </c>
      <c r="V68" s="72">
        <v>120182</v>
      </c>
      <c r="W68" s="72">
        <v>120183</v>
      </c>
      <c r="X68" s="72">
        <v>120184</v>
      </c>
      <c r="Y68" s="72">
        <v>120185</v>
      </c>
      <c r="Z68" s="72">
        <v>120186</v>
      </c>
      <c r="AA68" s="72">
        <v>120187</v>
      </c>
      <c r="AB68" s="72">
        <v>120188</v>
      </c>
      <c r="AC68" s="72">
        <v>515311</v>
      </c>
    </row>
    <row r="69" spans="1:29" ht="32.1" customHeight="1">
      <c r="A69" s="29"/>
      <c r="B69" s="137" t="str">
        <f>VLOOKUP("lfm",Sprachindex!A:Z,Info!$O$6,FALSE)</f>
        <v>lfm</v>
      </c>
      <c r="C69" s="146"/>
      <c r="D69" s="136">
        <f t="shared" si="6"/>
        <v>0</v>
      </c>
      <c r="E69" s="264" t="str">
        <f>VLOOKUP("PREFA Schneerechensystem Einlegprofil (3.000 mm)",Sprachindex!A:Z,Info!$O$6,FALSE)</f>
        <v>PREFA Schneerechensystem Einlegprofil (3.000 mm)</v>
      </c>
      <c r="F69" s="265"/>
      <c r="G69" s="265"/>
      <c r="H69" s="265"/>
      <c r="I69" s="265"/>
      <c r="J69" s="265"/>
      <c r="K69" s="266"/>
      <c r="L69" s="137" t="str">
        <f t="shared" si="4"/>
        <v/>
      </c>
      <c r="M69" s="147"/>
      <c r="O69" s="1"/>
      <c r="P69" s="11"/>
      <c r="Q69" s="11" t="str">
        <f>ROUNDUP(A69/3,0)*3 &amp;" " &amp; VLOOKUP("lfm",Sprachindex!A:Z,Info!$O$6,FALSE)</f>
        <v>0 lfm</v>
      </c>
      <c r="T69" s="72">
        <v>120350</v>
      </c>
      <c r="U69" s="72">
        <v>120351</v>
      </c>
      <c r="V69" s="72">
        <v>120352</v>
      </c>
      <c r="W69" s="72">
        <v>120353</v>
      </c>
      <c r="X69" s="72">
        <v>120354</v>
      </c>
      <c r="Y69" s="72">
        <v>120355</v>
      </c>
      <c r="Z69" s="72">
        <v>120356</v>
      </c>
      <c r="AA69" s="72">
        <v>120357</v>
      </c>
      <c r="AB69" s="72">
        <v>120358</v>
      </c>
      <c r="AC69" s="1">
        <v>669600</v>
      </c>
    </row>
    <row r="70" spans="1:29" ht="32.1" customHeight="1">
      <c r="A70" s="29"/>
      <c r="B70" s="137" t="str">
        <f>VLOOKUP("Stk",Sprachindex!A:Z,Info!$O$6,FALSE)</f>
        <v>STK</v>
      </c>
      <c r="C70" s="146"/>
      <c r="D70" s="136">
        <f t="shared" si="6"/>
        <v>0</v>
      </c>
      <c r="E70" s="264" t="str">
        <f>VLOOKUP("PREFA Schneerechensystem Eiskralle",Sprachindex!A:Z,Info!$O$6,FALSE)</f>
        <v>PREFA Schneerechensystem Eiskralle</v>
      </c>
      <c r="F70" s="265"/>
      <c r="G70" s="265"/>
      <c r="H70" s="265"/>
      <c r="I70" s="265"/>
      <c r="J70" s="265"/>
      <c r="K70" s="266"/>
      <c r="L70" s="137" t="str">
        <f t="shared" si="4"/>
        <v/>
      </c>
      <c r="M70" s="147"/>
      <c r="O70" s="1"/>
      <c r="P70" s="11"/>
      <c r="Q70" s="11" t="str">
        <f>ROUNDUP(A70/1,0)*1 &amp;" " &amp; VLOOKUP("Stk",Sprachindex!A:Z,Info!$O$6,FALSE)</f>
        <v>0 STK</v>
      </c>
      <c r="T70" s="72">
        <v>120700</v>
      </c>
      <c r="U70" s="72">
        <v>120701</v>
      </c>
      <c r="V70" s="72">
        <v>120702</v>
      </c>
      <c r="W70" s="72">
        <v>120703</v>
      </c>
      <c r="X70" s="72">
        <v>120704</v>
      </c>
      <c r="Y70" s="72">
        <v>120705</v>
      </c>
      <c r="Z70" s="72">
        <v>120706</v>
      </c>
      <c r="AA70" s="72">
        <v>120707</v>
      </c>
      <c r="AB70" s="72">
        <v>120708</v>
      </c>
      <c r="AC70" s="72">
        <v>649651</v>
      </c>
    </row>
    <row r="71" spans="1:29" ht="32.1" customHeight="1">
      <c r="A71" s="29"/>
      <c r="B71" s="137" t="str">
        <f>VLOOKUP("Stk",Sprachindex!A:Z,Info!$O$6,FALSE)</f>
        <v>STK</v>
      </c>
      <c r="C71" s="146"/>
      <c r="D71" s="136">
        <f t="shared" si="6"/>
        <v>0</v>
      </c>
      <c r="E71" s="264" t="str">
        <f>VLOOKUP("PREFA Schneerechensystem Abschluss",Sprachindex!A:Z,Info!$O$6,FALSE)</f>
        <v>PREFA Schneerechensystem Abschluss</v>
      </c>
      <c r="F71" s="265"/>
      <c r="G71" s="265"/>
      <c r="H71" s="265"/>
      <c r="I71" s="265"/>
      <c r="J71" s="265"/>
      <c r="K71" s="266"/>
      <c r="L71" s="137" t="str">
        <f t="shared" si="4"/>
        <v/>
      </c>
      <c r="M71" s="147"/>
      <c r="O71" s="1"/>
      <c r="P71" s="11"/>
      <c r="Q71" s="11" t="str">
        <f>ROUNDUP(A71/1,0)*1 &amp;" " &amp; VLOOKUP("Stk",Sprachindex!A:Z,Info!$O$6,FALSE)</f>
        <v>0 STK</v>
      </c>
      <c r="T71" s="72">
        <v>120390</v>
      </c>
      <c r="U71" s="72">
        <v>120391</v>
      </c>
      <c r="V71" s="72">
        <v>120392</v>
      </c>
      <c r="W71" s="72">
        <v>120393</v>
      </c>
      <c r="X71" s="72">
        <v>120394</v>
      </c>
      <c r="Y71" s="72">
        <v>120395</v>
      </c>
      <c r="Z71" s="72">
        <v>120396</v>
      </c>
      <c r="AA71" s="72">
        <v>120397</v>
      </c>
      <c r="AB71" s="72">
        <v>120398</v>
      </c>
      <c r="AC71" s="72">
        <v>515312</v>
      </c>
    </row>
    <row r="72" spans="1:29" ht="32.1" customHeight="1">
      <c r="A72" s="29"/>
      <c r="B72" s="137" t="str">
        <f>VLOOKUP("Stk",Sprachindex!A:Z,Info!$O$6,FALSE)</f>
        <v>STK</v>
      </c>
      <c r="C72" s="146"/>
      <c r="D72" s="136">
        <f t="shared" si="6"/>
        <v>0</v>
      </c>
      <c r="E72" s="264" t="str">
        <f>VLOOKUP("PREFA Gebirgsschneefangstütze",Sprachindex!A:Z,Info!$O$6,FALSE)</f>
        <v>PREFA Gebirgsschneefangstütze</v>
      </c>
      <c r="F72" s="265"/>
      <c r="G72" s="265"/>
      <c r="H72" s="265"/>
      <c r="I72" s="265"/>
      <c r="J72" s="265"/>
      <c r="K72" s="266"/>
      <c r="L72" s="137" t="str">
        <f t="shared" si="4"/>
        <v/>
      </c>
      <c r="M72" s="147"/>
      <c r="O72" s="1"/>
      <c r="P72" s="11"/>
      <c r="Q72" s="11" t="str">
        <f>ROUNDUP(A72/1,0)*1 &amp;" " &amp; VLOOKUP("Stk",Sprachindex!A:Z,Info!$O$6,FALSE)</f>
        <v>0 STK</v>
      </c>
      <c r="T72" s="72">
        <v>120150</v>
      </c>
      <c r="U72" s="72">
        <v>120151</v>
      </c>
      <c r="V72" s="72">
        <v>120152</v>
      </c>
      <c r="W72" s="72">
        <v>120153</v>
      </c>
      <c r="X72" s="72">
        <v>120154</v>
      </c>
      <c r="Y72" s="72">
        <v>120155</v>
      </c>
      <c r="Z72" s="72">
        <v>120156</v>
      </c>
      <c r="AA72" s="72">
        <v>120157</v>
      </c>
      <c r="AB72" s="72">
        <v>120158</v>
      </c>
      <c r="AC72" s="72">
        <v>635801</v>
      </c>
    </row>
    <row r="73" spans="1:29" ht="32.1" customHeight="1">
      <c r="A73" s="29"/>
      <c r="B73" s="137" t="str">
        <f>VLOOKUP("Stk",Sprachindex!A:Z,Info!$O$6,FALSE)</f>
        <v>STK</v>
      </c>
      <c r="C73" s="146"/>
      <c r="D73" s="136">
        <f t="shared" si="6"/>
        <v>0</v>
      </c>
      <c r="E73" s="264" t="str">
        <f>VLOOKUP("PREFA Kaminhut 700 x 700 mm",Sprachindex!A:Z,Info!$O$6,FALSE)</f>
        <v>PREFA Kaminhut 700 x 700 mm</v>
      </c>
      <c r="F73" s="265"/>
      <c r="G73" s="265"/>
      <c r="H73" s="265"/>
      <c r="I73" s="265"/>
      <c r="J73" s="265"/>
      <c r="K73" s="266"/>
      <c r="L73" s="137" t="str">
        <f t="shared" si="4"/>
        <v/>
      </c>
      <c r="M73" s="147"/>
      <c r="O73" s="1"/>
      <c r="P73" s="11"/>
      <c r="Q73" s="11" t="str">
        <f>ROUNDUP(A73/1,0)*1 &amp;" " &amp; VLOOKUP("Stk",Sprachindex!A:Z,Info!$O$6,FALSE)</f>
        <v>0 STK</v>
      </c>
      <c r="T73" s="72">
        <v>110420</v>
      </c>
      <c r="U73" s="72">
        <v>110421</v>
      </c>
      <c r="V73" s="72">
        <v>110422</v>
      </c>
      <c r="W73" s="72">
        <v>110423</v>
      </c>
      <c r="X73" s="72">
        <v>110424</v>
      </c>
      <c r="Y73" s="72">
        <v>110425</v>
      </c>
      <c r="Z73" s="72">
        <v>110426</v>
      </c>
      <c r="AA73" s="72">
        <v>110427</v>
      </c>
      <c r="AB73" s="72">
        <v>110428</v>
      </c>
      <c r="AC73" s="72">
        <v>545001</v>
      </c>
    </row>
    <row r="74" spans="1:29" ht="32.1" customHeight="1">
      <c r="A74" s="29"/>
      <c r="B74" s="137" t="str">
        <f>VLOOKUP("Stk",Sprachindex!A:Z,Info!$O$6,FALSE)</f>
        <v>STK</v>
      </c>
      <c r="C74" s="146"/>
      <c r="D74" s="136">
        <f t="shared" si="6"/>
        <v>0</v>
      </c>
      <c r="E74" s="264" t="str">
        <f>VLOOKUP("PREFA Kaminhut 800 x 800 mm",Sprachindex!A:Z,Info!$O$6,FALSE)</f>
        <v>PREFA Kaminhut 800 x 800 mm</v>
      </c>
      <c r="F74" s="265"/>
      <c r="G74" s="265"/>
      <c r="H74" s="265"/>
      <c r="I74" s="265"/>
      <c r="J74" s="265"/>
      <c r="K74" s="266"/>
      <c r="L74" s="137" t="str">
        <f t="shared" si="4"/>
        <v/>
      </c>
      <c r="M74" s="147"/>
      <c r="O74" s="1"/>
      <c r="P74" s="11"/>
      <c r="Q74" s="11" t="str">
        <f>ROUNDUP(A74/1,0)*1 &amp;" " &amp; VLOOKUP("Stk",Sprachindex!A:Z,Info!$O$6,FALSE)</f>
        <v>0 STK</v>
      </c>
      <c r="T74" s="72">
        <v>110430</v>
      </c>
      <c r="U74" s="72">
        <v>110431</v>
      </c>
      <c r="V74" s="72">
        <v>110432</v>
      </c>
      <c r="W74" s="72">
        <v>110433</v>
      </c>
      <c r="X74" s="72">
        <v>110434</v>
      </c>
      <c r="Y74" s="72">
        <v>110435</v>
      </c>
      <c r="Z74" s="72">
        <v>110436</v>
      </c>
      <c r="AA74" s="72">
        <v>110437</v>
      </c>
      <c r="AB74" s="72">
        <v>110438</v>
      </c>
      <c r="AC74" s="72">
        <v>545012</v>
      </c>
    </row>
    <row r="75" spans="1:29" ht="32.1" customHeight="1">
      <c r="A75" s="29"/>
      <c r="B75" s="137" t="str">
        <f>VLOOKUP("Stk",Sprachindex!A:Z,Info!$O$6,FALSE)</f>
        <v>STK</v>
      </c>
      <c r="C75" s="146"/>
      <c r="D75" s="136">
        <f t="shared" si="6"/>
        <v>0</v>
      </c>
      <c r="E75" s="264" t="str">
        <f>VLOOKUP("PREFA Kaminhut 1.000 x 700 mm",Sprachindex!A:Z,Info!$O$6,FALSE)</f>
        <v>PREFA Kaminhut 1.000 x 700 mm</v>
      </c>
      <c r="F75" s="265"/>
      <c r="G75" s="265"/>
      <c r="H75" s="265"/>
      <c r="I75" s="265"/>
      <c r="J75" s="265"/>
      <c r="K75" s="266"/>
      <c r="L75" s="137" t="str">
        <f t="shared" si="4"/>
        <v/>
      </c>
      <c r="M75" s="147"/>
      <c r="O75" s="1"/>
      <c r="P75" s="11"/>
      <c r="Q75" s="11" t="str">
        <f>ROUNDUP(A75/1,0)*1 &amp;" " &amp; VLOOKUP("Stk",Sprachindex!A:Z,Info!$O$6,FALSE)</f>
        <v>0 STK</v>
      </c>
      <c r="T75" s="72">
        <v>110440</v>
      </c>
      <c r="U75" s="72">
        <v>110441</v>
      </c>
      <c r="V75" s="72">
        <v>110442</v>
      </c>
      <c r="W75" s="72">
        <v>110443</v>
      </c>
      <c r="X75" s="72">
        <v>110444</v>
      </c>
      <c r="Y75" s="72">
        <v>110445</v>
      </c>
      <c r="Z75" s="72">
        <v>110446</v>
      </c>
      <c r="AA75" s="72">
        <v>110447</v>
      </c>
      <c r="AB75" s="72">
        <v>110448</v>
      </c>
      <c r="AC75" s="72">
        <v>545003</v>
      </c>
    </row>
    <row r="76" spans="1:29" ht="32.1" customHeight="1">
      <c r="A76" s="29"/>
      <c r="B76" s="137" t="str">
        <f>VLOOKUP("Stk",Sprachindex!A:Z,Info!$O$6,FALSE)</f>
        <v>STK</v>
      </c>
      <c r="C76" s="146"/>
      <c r="D76" s="136">
        <f t="shared" si="6"/>
        <v>0</v>
      </c>
      <c r="E76" s="264" t="str">
        <f>VLOOKUP("PREFA Kaminhut 1.100 x 800 mm",Sprachindex!A:Z,Info!$O$6,FALSE)</f>
        <v>PREFA Kaminhut 1.100 x 800 mm</v>
      </c>
      <c r="F76" s="265"/>
      <c r="G76" s="265"/>
      <c r="H76" s="265"/>
      <c r="I76" s="265"/>
      <c r="J76" s="265"/>
      <c r="K76" s="266"/>
      <c r="L76" s="137" t="str">
        <f t="shared" si="4"/>
        <v/>
      </c>
      <c r="M76" s="147"/>
      <c r="O76" s="1"/>
      <c r="P76" s="11"/>
      <c r="Q76" s="11" t="str">
        <f>ROUNDUP(A76/1,0)*1 &amp;" " &amp; VLOOKUP("Stk",Sprachindex!A:Z,Info!$O$6,FALSE)</f>
        <v>0 STK</v>
      </c>
      <c r="T76" s="72">
        <v>110450</v>
      </c>
      <c r="U76" s="72">
        <v>110451</v>
      </c>
      <c r="V76" s="72">
        <v>110452</v>
      </c>
      <c r="W76" s="72">
        <v>110453</v>
      </c>
      <c r="X76" s="72">
        <v>110454</v>
      </c>
      <c r="Y76" s="72">
        <v>110455</v>
      </c>
      <c r="Z76" s="72">
        <v>110456</v>
      </c>
      <c r="AA76" s="72">
        <v>110457</v>
      </c>
      <c r="AB76" s="72">
        <v>110458</v>
      </c>
      <c r="AC76" s="72">
        <v>545016</v>
      </c>
    </row>
    <row r="77" spans="1:29" ht="32.1" customHeight="1">
      <c r="A77" s="29"/>
      <c r="B77" s="137" t="str">
        <f>VLOOKUP("Stk",Sprachindex!A:Z,Info!$O$6,FALSE)</f>
        <v>STK</v>
      </c>
      <c r="C77" s="146"/>
      <c r="D77" s="136">
        <f t="shared" si="6"/>
        <v>0</v>
      </c>
      <c r="E77" s="264" t="str">
        <f>VLOOKUP("PREFA Kaminhut 1.500 x 800 mm",Sprachindex!A:Z,Info!$O$6,FALSE)</f>
        <v>PREFA Kaminhut 1.500 x 800 mm</v>
      </c>
      <c r="F77" s="265"/>
      <c r="G77" s="265"/>
      <c r="H77" s="265"/>
      <c r="I77" s="265"/>
      <c r="J77" s="265"/>
      <c r="K77" s="266"/>
      <c r="L77" s="137" t="str">
        <f t="shared" si="4"/>
        <v/>
      </c>
      <c r="M77" s="147"/>
      <c r="O77" s="1"/>
      <c r="P77" s="11"/>
      <c r="Q77" s="11" t="str">
        <f>ROUNDUP(A77/1,0)*1 &amp;" " &amp; VLOOKUP("Stk",Sprachindex!A:Z,Info!$O$6,FALSE)</f>
        <v>0 STK</v>
      </c>
      <c r="T77" s="72">
        <v>110460</v>
      </c>
      <c r="U77" s="72">
        <v>110461</v>
      </c>
      <c r="V77" s="72">
        <v>110462</v>
      </c>
      <c r="W77" s="72">
        <v>110463</v>
      </c>
      <c r="X77" s="72">
        <v>110464</v>
      </c>
      <c r="Y77" s="72">
        <v>110465</v>
      </c>
      <c r="Z77" s="72">
        <v>110466</v>
      </c>
      <c r="AA77" s="72">
        <v>110467</v>
      </c>
      <c r="AB77" s="72">
        <v>110468</v>
      </c>
      <c r="AC77" s="72">
        <v>545005</v>
      </c>
    </row>
    <row r="78" spans="1:29" ht="32.1" customHeight="1">
      <c r="A78" s="29"/>
      <c r="B78" s="137" t="str">
        <f>VLOOKUP("Stk",Sprachindex!A:Z,Info!$O$6,FALSE)</f>
        <v>STK</v>
      </c>
      <c r="C78" s="146"/>
      <c r="D78" s="136">
        <f t="shared" si="6"/>
        <v>0</v>
      </c>
      <c r="E78" s="264" t="str">
        <f>VLOOKUP("Kaminstrebe gebogen",Sprachindex!A:Z,Info!$O$6,FALSE)</f>
        <v>Kaminstrebe gebogen</v>
      </c>
      <c r="F78" s="265"/>
      <c r="G78" s="265"/>
      <c r="H78" s="265"/>
      <c r="I78" s="265"/>
      <c r="J78" s="265"/>
      <c r="K78" s="266"/>
      <c r="L78" s="137" t="str">
        <f t="shared" si="4"/>
        <v/>
      </c>
      <c r="M78" s="147"/>
      <c r="O78" s="1"/>
      <c r="P78" s="11"/>
      <c r="Q78" s="11" t="str">
        <f>ROUNDUP(A78/1,0)*1 &amp;" " &amp; VLOOKUP("Stk",Sprachindex!A:Z,Info!$O$6,FALSE)</f>
        <v>0 STK</v>
      </c>
      <c r="T78" s="72">
        <v>110410</v>
      </c>
      <c r="U78" s="72">
        <v>110411</v>
      </c>
      <c r="V78" s="72">
        <v>110412</v>
      </c>
      <c r="W78" s="72">
        <v>110413</v>
      </c>
      <c r="X78" s="72">
        <v>110414</v>
      </c>
      <c r="Y78" s="72">
        <v>110415</v>
      </c>
      <c r="Z78" s="72">
        <v>110416</v>
      </c>
      <c r="AA78" s="72">
        <v>110417</v>
      </c>
      <c r="AB78" s="72">
        <v>110418</v>
      </c>
      <c r="AC78" s="72">
        <v>537029</v>
      </c>
    </row>
    <row r="79" spans="1:29" ht="32.1" customHeight="1">
      <c r="A79" s="29"/>
      <c r="B79" s="137" t="str">
        <f>VLOOKUP("lfm",Sprachindex!A:Z,Info!$O$6,FALSE)</f>
        <v>lfm</v>
      </c>
      <c r="C79" s="146"/>
      <c r="D79" s="136">
        <f t="shared" si="6"/>
        <v>0</v>
      </c>
      <c r="E79" s="264" t="str">
        <f>VLOOKUP("PREFA Flachprofil (35 x 7 x 3.000 mm)",Sprachindex!A:Z,Info!$O$6,FALSE)</f>
        <v>PREFA Flachprofil (35 x 7 x 3.000 mm)</v>
      </c>
      <c r="F79" s="265"/>
      <c r="G79" s="265"/>
      <c r="H79" s="265"/>
      <c r="I79" s="265"/>
      <c r="J79" s="265"/>
      <c r="K79" s="266"/>
      <c r="L79" s="137" t="str">
        <f t="shared" si="4"/>
        <v/>
      </c>
      <c r="M79" s="147"/>
      <c r="O79" s="1"/>
      <c r="P79" s="11"/>
      <c r="Q79" s="11" t="str">
        <f>ROUNDUP(A79/3,0)*3 &amp;" " &amp; VLOOKUP("lfm",Sprachindex!A:Z,Info!$O$6,FALSE)</f>
        <v>0 lfm</v>
      </c>
      <c r="T79" s="72">
        <v>110400</v>
      </c>
      <c r="U79" s="72">
        <v>110401</v>
      </c>
      <c r="V79" s="72">
        <v>110402</v>
      </c>
      <c r="W79" s="72">
        <v>110403</v>
      </c>
      <c r="X79" s="72">
        <v>110404</v>
      </c>
      <c r="Y79" s="72">
        <v>110405</v>
      </c>
      <c r="Z79" s="72">
        <v>110406</v>
      </c>
      <c r="AA79" s="72">
        <v>110407</v>
      </c>
      <c r="AB79" s="72">
        <v>110408</v>
      </c>
      <c r="AC79" s="202" t="s">
        <v>3551</v>
      </c>
    </row>
    <row r="80" spans="1:29" ht="32.1" customHeight="1">
      <c r="A80" s="29"/>
      <c r="B80" s="137" t="str">
        <f>VLOOKUP("Stk",Sprachindex!A:Z,Info!$O$6,FALSE)</f>
        <v>STK</v>
      </c>
      <c r="C80" s="146"/>
      <c r="D80" s="136">
        <f t="shared" si="6"/>
        <v>0</v>
      </c>
      <c r="E80" s="264" t="str">
        <f>VLOOKUP("PREFA Hauerbuckel, zum Abdecken von Befestigungsmitteln",Sprachindex!A:Z,Info!$O$6,FALSE)</f>
        <v>PREFA Hauerbuckel, zum Abdecken von Befestigungsmitteln</v>
      </c>
      <c r="F80" s="265"/>
      <c r="G80" s="265"/>
      <c r="H80" s="265"/>
      <c r="I80" s="265"/>
      <c r="J80" s="265"/>
      <c r="K80" s="266"/>
      <c r="L80" s="137" t="str">
        <f t="shared" si="4"/>
        <v/>
      </c>
      <c r="M80" s="147"/>
      <c r="O80" s="1"/>
      <c r="P80" s="11"/>
      <c r="Q80" s="11" t="str">
        <f>ROUNDUP(A80/1,0)*1 &amp;" " &amp; VLOOKUP("Stk",Sprachindex!A:Z,Info!$O$6,FALSE)</f>
        <v>0 STK</v>
      </c>
      <c r="T80" s="72">
        <v>112401</v>
      </c>
      <c r="U80" s="72">
        <v>112402</v>
      </c>
      <c r="V80" s="72">
        <v>112403</v>
      </c>
      <c r="W80" s="72">
        <v>112404</v>
      </c>
      <c r="X80" s="72">
        <v>112405</v>
      </c>
      <c r="Y80" s="72">
        <v>112406</v>
      </c>
      <c r="Z80" s="72">
        <v>112407</v>
      </c>
      <c r="AA80" s="72">
        <v>112408</v>
      </c>
      <c r="AB80" s="72">
        <v>112409</v>
      </c>
      <c r="AC80" s="72">
        <v>112420</v>
      </c>
    </row>
    <row r="81" spans="1:39" ht="32.1" customHeight="1">
      <c r="A81" s="29"/>
      <c r="B81" s="137" t="str">
        <f>VLOOKUP("Stk",Sprachindex!A:Z,Info!$O$6,FALSE)</f>
        <v>STK</v>
      </c>
      <c r="C81" s="146"/>
      <c r="D81" s="136">
        <v>420006</v>
      </c>
      <c r="E81" s="264" t="str">
        <f>VLOOKUP("PREFA Silikon Kartusche",Sprachindex!A:Z,Info!$O$6,FALSE)</f>
        <v>PREFA Silikon Kartusche</v>
      </c>
      <c r="F81" s="265"/>
      <c r="G81" s="265"/>
      <c r="H81" s="265"/>
      <c r="I81" s="265"/>
      <c r="J81" s="265"/>
      <c r="K81" s="266"/>
      <c r="L81" s="137" t="str">
        <f t="shared" si="4"/>
        <v/>
      </c>
      <c r="M81" s="147"/>
      <c r="O81" s="1"/>
      <c r="P81" s="57"/>
      <c r="Q81" s="11" t="str">
        <f>ROUNDUP(A81/1,0)*1 &amp;" " &amp; VLOOKUP("Stk",Sprachindex!A:Z,Info!$O$6,FALSE)</f>
        <v>0 STK</v>
      </c>
      <c r="R81" s="6"/>
    </row>
    <row r="82" spans="1:39" ht="32.1" customHeight="1">
      <c r="A82" s="29"/>
      <c r="B82" s="137" t="str">
        <f>VLOOKUP("Set",Sprachindex!A:Z,Info!$O$6,FALSE)</f>
        <v>Set</v>
      </c>
      <c r="C82" s="146"/>
      <c r="D82" s="136">
        <v>420500</v>
      </c>
      <c r="E82" s="264" t="str">
        <f>VLOOKUP("PREFA Spezialkleberset",Sprachindex!A:Z,Info!$O$6,FALSE)</f>
        <v>PREFA Spezialkleberset</v>
      </c>
      <c r="F82" s="265"/>
      <c r="G82" s="265"/>
      <c r="H82" s="265"/>
      <c r="I82" s="265"/>
      <c r="J82" s="265"/>
      <c r="K82" s="266"/>
      <c r="L82" s="137" t="str">
        <f t="shared" si="4"/>
        <v/>
      </c>
      <c r="M82" s="147"/>
      <c r="O82" s="1"/>
      <c r="P82" s="11"/>
      <c r="Q82" s="11" t="str">
        <f>ROUNDUP(A82/1,0)*1 &amp;" " &amp; VLOOKUP("Set",Sprachindex!A:Z,Info!$O$6,FALSE)</f>
        <v>0 Set</v>
      </c>
      <c r="T82" s="75" t="s">
        <v>1554</v>
      </c>
      <c r="U82" s="75" t="s">
        <v>1555</v>
      </c>
      <c r="V82" s="75" t="s">
        <v>1556</v>
      </c>
      <c r="W82" s="75" t="s">
        <v>1557</v>
      </c>
      <c r="X82" s="75" t="s">
        <v>1558</v>
      </c>
      <c r="Y82" s="75" t="s">
        <v>1559</v>
      </c>
      <c r="Z82" s="75" t="s">
        <v>1560</v>
      </c>
      <c r="AA82" s="75" t="s">
        <v>1561</v>
      </c>
      <c r="AB82" s="75" t="s">
        <v>1562</v>
      </c>
      <c r="AC82" s="75" t="s">
        <v>1563</v>
      </c>
      <c r="AD82" s="75" t="s">
        <v>1554</v>
      </c>
      <c r="AE82" s="75" t="s">
        <v>1555</v>
      </c>
      <c r="AF82" s="75" t="s">
        <v>1556</v>
      </c>
      <c r="AG82" s="75" t="s">
        <v>1557</v>
      </c>
      <c r="AH82" s="75" t="s">
        <v>1558</v>
      </c>
      <c r="AI82" s="75" t="s">
        <v>1559</v>
      </c>
      <c r="AJ82" s="75" t="s">
        <v>1560</v>
      </c>
      <c r="AK82" s="75" t="s">
        <v>1561</v>
      </c>
      <c r="AL82" s="75" t="s">
        <v>1562</v>
      </c>
      <c r="AM82" s="75" t="s">
        <v>1563</v>
      </c>
    </row>
    <row r="83" spans="1:39" ht="32.1" customHeight="1">
      <c r="A83" s="29"/>
      <c r="B83" s="137" t="str">
        <f>VLOOKUP("Stk",Sprachindex!A:Z,Info!$O$6,FALSE)</f>
        <v>STK</v>
      </c>
      <c r="C83" s="146"/>
      <c r="D83" s="136">
        <v>411687</v>
      </c>
      <c r="E83" s="264" t="str">
        <f>VLOOKUP("PREFA Rilleneisen",Sprachindex!A:Z,Info!$O$6,FALSE)</f>
        <v>PREFA Rilleneisen</v>
      </c>
      <c r="F83" s="265"/>
      <c r="G83" s="265"/>
      <c r="H83" s="265"/>
      <c r="I83" s="265"/>
      <c r="J83" s="265"/>
      <c r="K83" s="266"/>
      <c r="L83" s="137" t="str">
        <f t="shared" si="4"/>
        <v/>
      </c>
      <c r="M83" s="147"/>
      <c r="O83" s="1"/>
      <c r="P83" s="11"/>
      <c r="Q83" s="11" t="str">
        <f>ROUNDUP(A83/1,0)*1 &amp;" " &amp; VLOOKUP("Stk",Sprachindex!A:Z,Info!$O$6,FALSE)</f>
        <v>0 STK</v>
      </c>
    </row>
    <row r="84" spans="1:39" ht="32.1" customHeight="1">
      <c r="A84" s="29"/>
      <c r="B84" s="137" t="str">
        <f>VLOOKUP("Stk",Sprachindex!A:Z,Info!$O$6,FALSE)</f>
        <v>STK</v>
      </c>
      <c r="C84" s="146"/>
      <c r="D84" s="136">
        <v>412229</v>
      </c>
      <c r="E84" s="264" t="str">
        <f>VLOOKUP("PREFA Abspanneisen",Sprachindex!A:Z,Info!$O$6,FALSE)</f>
        <v>PREFA Abspanneisen</v>
      </c>
      <c r="F84" s="265"/>
      <c r="G84" s="265"/>
      <c r="H84" s="265"/>
      <c r="I84" s="265"/>
      <c r="J84" s="265"/>
      <c r="K84" s="266"/>
      <c r="L84" s="137" t="str">
        <f t="shared" si="4"/>
        <v/>
      </c>
      <c r="M84" s="147"/>
      <c r="O84" s="1"/>
      <c r="P84" s="11"/>
      <c r="Q84" s="11" t="str">
        <f>ROUNDUP(A84/1,0)*1 &amp;" " &amp; VLOOKUP("Stk",Sprachindex!A:Z,Info!$O$6,FALSE)</f>
        <v>0 STK</v>
      </c>
    </row>
    <row r="85" spans="1:39" ht="32.1" customHeight="1">
      <c r="A85" s="29"/>
      <c r="B85" s="137" t="str">
        <f>VLOOKUP("kg",Sprachindex!A:Z,Info!$O$6,FALSE)</f>
        <v>kg</v>
      </c>
      <c r="C85" s="146"/>
      <c r="D85" s="136">
        <f>IF(I85=Formeln!A116,X85,IF(I85=Formeln!A117,T85,IF(I85=Formeln!A118,U85,IF(I85=Formeln!A119,V85,IF(I85=Formeln!A120,W85,0)))))</f>
        <v>0</v>
      </c>
      <c r="E85" s="267" t="str">
        <f>VLOOKUP("PREFA Lochblech DM 5 mm
ca. 24kg/Rolle (0,7x1.000 mm)",Sprachindex!A:Z,Info!$O$6,FALSE)</f>
        <v>PREFA Lochblech DM 5 mm
ca. 24kg/Rolle (0,7x1.000 mm)</v>
      </c>
      <c r="F85" s="268"/>
      <c r="G85" s="268"/>
      <c r="H85" s="268"/>
      <c r="I85" s="269"/>
      <c r="J85" s="270"/>
      <c r="K85" s="271"/>
      <c r="L85" s="137" t="str">
        <f t="shared" si="4"/>
        <v/>
      </c>
      <c r="M85" s="147"/>
      <c r="O85" s="1"/>
      <c r="P85" s="11"/>
      <c r="Q85" s="11" t="str">
        <f>ROUNDUP(A85/24,0)*1 &amp; " " &amp; R85 &amp; "                         (" &amp;ROUNDUP(A85/24,0)*24&amp;" " &amp; B85 &amp; ")"</f>
        <v>0 Rolle                         (0 kg)</v>
      </c>
      <c r="R85" s="11" t="str">
        <f>IF(A85&gt;21.24, Formeln!A128, Formeln!A127)</f>
        <v>Rolle</v>
      </c>
      <c r="T85" s="72">
        <v>507202</v>
      </c>
      <c r="U85" s="72">
        <v>507203</v>
      </c>
      <c r="V85" s="72">
        <v>507204</v>
      </c>
      <c r="W85" s="72">
        <v>507205</v>
      </c>
      <c r="X85" s="72">
        <v>507206</v>
      </c>
    </row>
    <row r="86" spans="1:39" ht="50.1" customHeight="1">
      <c r="A86" s="29"/>
      <c r="B86" s="137" t="str">
        <f>VLOOKUP("kg",Sprachindex!A:Z,Info!$O$6,FALSE)</f>
        <v>kg</v>
      </c>
      <c r="C86" s="146"/>
      <c r="D86" s="142">
        <f>IF(AND(I86=Formeln!A21,K86=Formeln!A134),T86,IF(AND(I86=Formeln!A21,K86=Formeln!A137),U86,IF(AND(I86=Formeln!A21,K86=Formeln!A139),V86,IF(AND(I86=Formeln!A21,K86=Formeln!A137),AE86,IF(AND(I86=Formeln!A21,K86=Formeln!A133),W86,IF(AND(I86=Formeln!A21,K86=Formeln!A141),X86,IF(AND(I86=Formeln!A21,K86=Formeln!A136),Y86,IF(AND(I86=Formeln!A21,K86=Formeln!A140),Z86,IF(AND(I86=Formeln!A21,K86=Formeln!A138),AA86,IF(AND(I86=Formeln!A21,K86=Formeln!A135),AB86,IF(AND(I86=Formeln!A21,K86=Formeln!A142),AC86,IF(AND(I86=Formeln!A22,K86=Formeln!A134),AD86,IF(AND(I86=Formeln!A22,K86=Formeln!A137),AE86,IF(AND(I86=Formeln!A22,K86=Formeln!A139),AF86,IF(AND(I86=Formeln!A22,K86=Formeln!A137),AE86,IF(AND(I86=Formeln!A22,K86=Formeln!A133),AG86,IF(AND(I86=Formeln!A22,K86=Formeln!A141),AH86,IF(AND(I86=Formeln!A22,K86=Formeln!A136),AI86,IF(AND(I86=Formeln!A22,K86=Formeln!A140),AJ86,IF(AND(I86=Formeln!A22,K86=Formeln!A138),AK86,IF(AND(I86=Formeln!A22,K86=Formeln!A135),AL86,IF(AND(I86=Formeln!A22,K86=Formeln!A142),AM86,0))))))))))))))))))))))</f>
        <v>0</v>
      </c>
      <c r="E86" s="264" t="str">
        <f>VLOOKUP("PREFALZ Ergänzungsband 0,7x1.000 mm (für Zusatzverblechungen)",Sprachindex!A:Z,Info!$O$6,FALSE)</f>
        <v>PREFALZ Ergänzungsband 0,7x1.000 mm (für Zusatzverblechungen)</v>
      </c>
      <c r="F86" s="265"/>
      <c r="G86" s="265"/>
      <c r="H86" s="148" t="str">
        <f>VLOOKUP("Oberfläche:",Sprachindex!A:Z,Info!$O$6,FALSE)</f>
        <v>Oberfläche:</v>
      </c>
      <c r="I86" s="149"/>
      <c r="J86" s="145" t="str">
        <f>VLOOKUP("Farbe:",Sprachindex!A:Z,Info!$O$6,FALSE)</f>
        <v>Farbe:</v>
      </c>
      <c r="K86" s="149"/>
      <c r="L86" s="137" t="str">
        <f t="shared" si="4"/>
        <v/>
      </c>
      <c r="M86" s="147"/>
      <c r="O86" s="1"/>
      <c r="P86" s="11"/>
      <c r="Q86" s="11" t="str">
        <f>ROUNDUP(A86/60,0)*1 &amp; " " &amp; R86 &amp; "                         (" &amp;ROUNDUP(A86/60,0)*60&amp;" " &amp; B86 &amp; ")"</f>
        <v>0 Rolle                         (0 kg)</v>
      </c>
      <c r="R86" s="11" t="str">
        <f>IF(A86&gt;60, Formeln!A128, Formeln!A127)</f>
        <v>Rolle</v>
      </c>
      <c r="T86" s="202" t="s">
        <v>3552</v>
      </c>
      <c r="U86" s="202" t="s">
        <v>3553</v>
      </c>
      <c r="V86" s="202" t="s">
        <v>3554</v>
      </c>
      <c r="W86" s="202" t="s">
        <v>3555</v>
      </c>
      <c r="X86" s="202" t="s">
        <v>3556</v>
      </c>
      <c r="Y86" s="202" t="s">
        <v>3557</v>
      </c>
      <c r="Z86" s="202" t="s">
        <v>3558</v>
      </c>
      <c r="AA86" s="202" t="s">
        <v>3559</v>
      </c>
      <c r="AB86" s="202" t="s">
        <v>3560</v>
      </c>
      <c r="AC86" s="202" t="s">
        <v>3561</v>
      </c>
      <c r="AD86" s="202" t="s">
        <v>3758</v>
      </c>
      <c r="AE86" s="202" t="s">
        <v>3759</v>
      </c>
      <c r="AF86" s="202" t="s">
        <v>3760</v>
      </c>
      <c r="AG86" s="202" t="s">
        <v>3761</v>
      </c>
      <c r="AH86" s="202" t="s">
        <v>3762</v>
      </c>
      <c r="AI86" s="202" t="s">
        <v>3763</v>
      </c>
      <c r="AJ86" s="202" t="s">
        <v>3764</v>
      </c>
      <c r="AK86" s="202" t="s">
        <v>3765</v>
      </c>
      <c r="AL86" s="202" t="s">
        <v>3766</v>
      </c>
      <c r="AM86" s="202" t="s">
        <v>3562</v>
      </c>
    </row>
    <row r="87" spans="1:39" ht="32.1" customHeight="1">
      <c r="A87" s="29"/>
      <c r="B87" s="27"/>
      <c r="C87" s="27"/>
      <c r="D87" s="27"/>
      <c r="E87" s="272"/>
      <c r="F87" s="273"/>
      <c r="G87" s="273"/>
      <c r="H87" s="273"/>
      <c r="I87" s="273"/>
      <c r="J87" s="273"/>
      <c r="K87" s="274"/>
      <c r="L87" s="27"/>
      <c r="M87" s="30"/>
      <c r="O87" s="1"/>
      <c r="P87" s="11"/>
      <c r="Q87" s="11" t="str">
        <f>ROUNDUP(A87/1,0)*1 &amp;" " &amp; VLOOKUP("Stk",Sprachindex!A:Z,Info!$O$6,FALSE)</f>
        <v>0 STK</v>
      </c>
    </row>
    <row r="88" spans="1:39" ht="32.1" customHeight="1">
      <c r="A88" s="29"/>
      <c r="B88" s="27"/>
      <c r="C88" s="27"/>
      <c r="D88" s="27"/>
      <c r="E88" s="272"/>
      <c r="F88" s="273"/>
      <c r="G88" s="273"/>
      <c r="H88" s="273"/>
      <c r="I88" s="273"/>
      <c r="J88" s="273"/>
      <c r="K88" s="274"/>
      <c r="L88" s="27"/>
      <c r="M88" s="30"/>
      <c r="O88" s="1"/>
      <c r="P88" s="11"/>
      <c r="Q88" s="11" t="str">
        <f>ROUNDUP(A88/1,0)*1 &amp;" " &amp; VLOOKUP("Stk",Sprachindex!A:Z,Info!$O$6,FALSE)</f>
        <v>0 STK</v>
      </c>
    </row>
    <row r="89" spans="1:39" ht="32.1" customHeight="1" thickBot="1">
      <c r="A89" s="26"/>
      <c r="B89" s="28"/>
      <c r="C89" s="28"/>
      <c r="D89" s="28"/>
      <c r="E89" s="275"/>
      <c r="F89" s="276"/>
      <c r="G89" s="276"/>
      <c r="H89" s="276"/>
      <c r="I89" s="276"/>
      <c r="J89" s="276"/>
      <c r="K89" s="277"/>
      <c r="L89" s="28"/>
      <c r="M89" s="55"/>
      <c r="O89" s="1"/>
      <c r="P89" s="11"/>
      <c r="Q89" s="11" t="str">
        <f>ROUNDUP(A89/1,0)*1 &amp;" " &amp; VLOOKUP("Stk",Sprachindex!A:Z,Info!$O$6,FALSE)</f>
        <v>0 STK</v>
      </c>
    </row>
    <row r="90" spans="1:39" ht="13.5">
      <c r="D90" s="280"/>
      <c r="E90" s="280"/>
      <c r="F90" s="280"/>
      <c r="G90" s="280"/>
      <c r="H90" s="280"/>
      <c r="I90" s="280"/>
      <c r="J90" s="280"/>
      <c r="K90" s="280"/>
      <c r="L90" s="280"/>
      <c r="M90" s="280"/>
    </row>
    <row r="91" spans="1:39" ht="16.899999999999999">
      <c r="C91" s="153" t="str">
        <f>VLOOKUP("Zusatzvermerk:",Sprachindex!A:Z,Info!$O$6,FALSE)</f>
        <v>Zusatzvermerk:</v>
      </c>
      <c r="D91" s="279"/>
      <c r="E91" s="279"/>
      <c r="F91" s="279"/>
      <c r="G91" s="279"/>
      <c r="H91" s="279"/>
      <c r="I91" s="279"/>
      <c r="J91" s="279"/>
      <c r="K91" s="279"/>
      <c r="L91" s="279"/>
      <c r="M91" s="279"/>
    </row>
    <row r="92" spans="1:39" ht="13.5">
      <c r="D92" s="278"/>
      <c r="E92" s="278"/>
      <c r="F92" s="278"/>
      <c r="G92" s="278"/>
      <c r="H92" s="278"/>
      <c r="I92" s="278"/>
      <c r="J92" s="278"/>
      <c r="K92" s="278"/>
      <c r="L92" s="278"/>
      <c r="M92" s="278"/>
    </row>
    <row r="93" spans="1:39" ht="13.5">
      <c r="D93" s="279"/>
      <c r="E93" s="279"/>
      <c r="F93" s="279"/>
      <c r="G93" s="279"/>
      <c r="H93" s="279"/>
      <c r="I93" s="279"/>
      <c r="J93" s="279"/>
      <c r="K93" s="279"/>
      <c r="L93" s="279"/>
      <c r="M93" s="279"/>
    </row>
    <row r="94" spans="1:39" ht="13.5">
      <c r="D94" s="278"/>
      <c r="E94" s="278"/>
      <c r="F94" s="278"/>
      <c r="G94" s="278"/>
      <c r="H94" s="278"/>
      <c r="I94" s="278"/>
      <c r="J94" s="278"/>
      <c r="K94" s="278"/>
      <c r="L94" s="278"/>
      <c r="M94" s="278"/>
    </row>
    <row r="95" spans="1:39" ht="13.5">
      <c r="D95" s="279"/>
      <c r="E95" s="279"/>
      <c r="F95" s="279"/>
      <c r="G95" s="279"/>
      <c r="H95" s="279"/>
      <c r="I95" s="279"/>
      <c r="J95" s="279"/>
      <c r="K95" s="279"/>
      <c r="L95" s="279"/>
      <c r="M95" s="279"/>
    </row>
    <row r="96" spans="1:39" ht="13.5"/>
    <row r="97" spans="1:15" ht="13.5"/>
    <row r="98" spans="1:15" ht="16.899999999999999">
      <c r="A98" s="154" t="str">
        <f>VLOOKUP("Anwendungstechnik",Sprachindex!A:Z,Info!$O$6,FALSE)</f>
        <v>Anwendungstechnik</v>
      </c>
      <c r="B98" s="155"/>
      <c r="C98" s="155"/>
      <c r="D98" s="263"/>
      <c r="E98" s="263"/>
      <c r="F98" s="263"/>
      <c r="G98" s="263"/>
      <c r="H98" s="263"/>
      <c r="I98" s="263"/>
      <c r="J98" s="263"/>
      <c r="K98" s="156" t="str">
        <f>VLOOKUP("Stand:",Sprachindex!A:Z,Info!$O$6,FALSE)</f>
        <v>Stand:</v>
      </c>
      <c r="L98" s="281">
        <v>43182</v>
      </c>
      <c r="M98" s="282"/>
      <c r="O98" s="12" t="str">
        <f>VLOOKUP("Vielen Dank für Ihre Mengenermittlung",Sprachindex!A:Z,Info!$O$6,FALSE)</f>
        <v>Vielen Dank für Ihre Mengenermittlung</v>
      </c>
    </row>
    <row r="99" spans="1:15" ht="13.5"/>
    <row r="100" spans="1:15" ht="13.5" hidden="1"/>
    <row r="101" spans="1:15" ht="14.25" hidden="1" customHeight="1"/>
    <row r="102" spans="1:15" ht="14.25" hidden="1" customHeight="1"/>
  </sheetData>
  <sheetProtection algorithmName="SHA-512" hashValue="iqMxpCF2oCqjAuIrUOF7J95AiYP8ZnwFZeUibZ5iRyvIEO3S8+19fJDfztXimMNRPNesw7nhTXjSKVmPKx8F1Q==" saltValue="IXC3z9mpGyYw9/YwgRoJRg==" spinCount="100000" sheet="1" objects="1" scenarios="1" selectLockedCells="1" autoFilter="0"/>
  <protectedRanges>
    <protectedRange password="DEBF" sqref="P24" name="darf vom Benutzer nicht verändert werden_1_5_2"/>
    <protectedRange password="DEBF" sqref="Q25" name="darf vom Benutzer nicht verändert werden_1"/>
    <protectedRange password="DEBF" sqref="P25" name="darf vom Benutzer nicht verändert werden_1_5_2_1"/>
    <protectedRange password="DEBF" sqref="Q26" name="darf vom Benutzer nicht verändert werden_1_1"/>
    <protectedRange password="DEBF" sqref="P26" name="darf vom Benutzer nicht verändert werden_1_5_2_2"/>
    <protectedRange password="DEBF" sqref="P27:Q27" name="darf vom Benutzer nicht verändert werden_1_2"/>
    <protectedRange password="DEBF" sqref="Q28" name="darf vom Benutzer nicht verändert werden_1_3"/>
    <protectedRange password="DEBF" sqref="P28" name="darf vom Benutzer nicht verändert werden_1_5_2_3"/>
    <protectedRange password="DEBF" sqref="Q29" name="darf vom Benutzer nicht verändert werden_1_4"/>
    <protectedRange password="DEBF" sqref="P29" name="darf vom Benutzer nicht verändert werden_1_5_2_4"/>
    <protectedRange password="DEBF" sqref="P30:Q30" name="darf vom Benutzer nicht verändert werden_1_5_2_5"/>
    <protectedRange password="DEBF" sqref="P31:Q80 P82:Q89 Q81" name="darf vom Benutzer nicht verändert werden_1_5"/>
    <protectedRange password="DEBF" sqref="P81" name="darf vom Benutzer nicht verändert werden_1_5_2_6"/>
    <protectedRange password="DEBF" sqref="R85:R86" name="darf vom Benutzer nicht verändert werden_1_12"/>
  </protectedRanges>
  <autoFilter ref="A22:A89"/>
  <mergeCells count="94">
    <mergeCell ref="C10:E10"/>
    <mergeCell ref="C8:E8"/>
    <mergeCell ref="C9:E9"/>
    <mergeCell ref="E26:K26"/>
    <mergeCell ref="C12:E12"/>
    <mergeCell ref="C13:E13"/>
    <mergeCell ref="C14:E14"/>
    <mergeCell ref="C17:E17"/>
    <mergeCell ref="C18:E18"/>
    <mergeCell ref="C19:E19"/>
    <mergeCell ref="C20:E20"/>
    <mergeCell ref="B22:E22"/>
    <mergeCell ref="E23:K23"/>
    <mergeCell ref="E24:K24"/>
    <mergeCell ref="E25:K25"/>
    <mergeCell ref="E35:K35"/>
    <mergeCell ref="E27:K27"/>
    <mergeCell ref="E28:K28"/>
    <mergeCell ref="E29:G29"/>
    <mergeCell ref="H29:K29"/>
    <mergeCell ref="E30:G30"/>
    <mergeCell ref="H30:K30"/>
    <mergeCell ref="E31:K31"/>
    <mergeCell ref="E32:G32"/>
    <mergeCell ref="H32:K32"/>
    <mergeCell ref="E33:K33"/>
    <mergeCell ref="E34:K34"/>
    <mergeCell ref="E46:H46"/>
    <mergeCell ref="J46:K46"/>
    <mergeCell ref="E47:H47"/>
    <mergeCell ref="J47:K47"/>
    <mergeCell ref="E36:K36"/>
    <mergeCell ref="E37:K37"/>
    <mergeCell ref="E38:K38"/>
    <mergeCell ref="E39:K39"/>
    <mergeCell ref="E40:K40"/>
    <mergeCell ref="E41:G41"/>
    <mergeCell ref="H41:K41"/>
    <mergeCell ref="E42:G42"/>
    <mergeCell ref="H42:K42"/>
    <mergeCell ref="E43:K43"/>
    <mergeCell ref="E44:K44"/>
    <mergeCell ref="E45:H45"/>
    <mergeCell ref="E59:K59"/>
    <mergeCell ref="E48:K48"/>
    <mergeCell ref="E49:K49"/>
    <mergeCell ref="E50:K50"/>
    <mergeCell ref="E51:K51"/>
    <mergeCell ref="E52:K52"/>
    <mergeCell ref="E53:K53"/>
    <mergeCell ref="E54:K54"/>
    <mergeCell ref="E55:K55"/>
    <mergeCell ref="E56:K56"/>
    <mergeCell ref="E57:K57"/>
    <mergeCell ref="E58:K58"/>
    <mergeCell ref="E82:K82"/>
    <mergeCell ref="E71:K71"/>
    <mergeCell ref="E60:K60"/>
    <mergeCell ref="E61:K61"/>
    <mergeCell ref="E62:K62"/>
    <mergeCell ref="E63:K63"/>
    <mergeCell ref="E64:K64"/>
    <mergeCell ref="E65:K65"/>
    <mergeCell ref="E66:K66"/>
    <mergeCell ref="E67:K67"/>
    <mergeCell ref="E68:K68"/>
    <mergeCell ref="E69:K69"/>
    <mergeCell ref="E70:K70"/>
    <mergeCell ref="E77:K77"/>
    <mergeCell ref="E78:K78"/>
    <mergeCell ref="E79:K79"/>
    <mergeCell ref="E80:K80"/>
    <mergeCell ref="E81:K81"/>
    <mergeCell ref="E72:K72"/>
    <mergeCell ref="E73:K73"/>
    <mergeCell ref="E74:K74"/>
    <mergeCell ref="E75:K75"/>
    <mergeCell ref="E76:K76"/>
    <mergeCell ref="K6:M6"/>
    <mergeCell ref="K5:M5"/>
    <mergeCell ref="K4:M4"/>
    <mergeCell ref="D98:J98"/>
    <mergeCell ref="E84:K84"/>
    <mergeCell ref="E85:H85"/>
    <mergeCell ref="I85:K85"/>
    <mergeCell ref="E86:G86"/>
    <mergeCell ref="E87:K87"/>
    <mergeCell ref="E88:K88"/>
    <mergeCell ref="E89:K89"/>
    <mergeCell ref="D94:M95"/>
    <mergeCell ref="D92:M93"/>
    <mergeCell ref="D90:M91"/>
    <mergeCell ref="L98:M98"/>
    <mergeCell ref="E83:K83"/>
  </mergeCells>
  <conditionalFormatting sqref="J20:K20">
    <cfRule type="expression" dxfId="1992" priority="371">
      <formula>$N$20=10</formula>
    </cfRule>
  </conditionalFormatting>
  <conditionalFormatting sqref="I20:I21">
    <cfRule type="expression" dxfId="1991" priority="372">
      <formula>$N$20=10</formula>
    </cfRule>
  </conditionalFormatting>
  <conditionalFormatting sqref="C8:E8">
    <cfRule type="cellIs" dxfId="1990" priority="356" operator="equal">
      <formula>""</formula>
    </cfRule>
  </conditionalFormatting>
  <conditionalFormatting sqref="C9:E9">
    <cfRule type="cellIs" dxfId="1989" priority="355" operator="equal">
      <formula>""</formula>
    </cfRule>
  </conditionalFormatting>
  <conditionalFormatting sqref="C10:E10">
    <cfRule type="cellIs" dxfId="1988" priority="354" operator="equal">
      <formula>""</formula>
    </cfRule>
  </conditionalFormatting>
  <conditionalFormatting sqref="C12:E12">
    <cfRule type="cellIs" dxfId="1987" priority="353" operator="equal">
      <formula>""</formula>
    </cfRule>
  </conditionalFormatting>
  <conditionalFormatting sqref="C13:E13">
    <cfRule type="cellIs" dxfId="1986" priority="352" operator="equal">
      <formula>""</formula>
    </cfRule>
  </conditionalFormatting>
  <conditionalFormatting sqref="C14:E14">
    <cfRule type="cellIs" dxfId="1985" priority="351" operator="equal">
      <formula>""</formula>
    </cfRule>
  </conditionalFormatting>
  <conditionalFormatting sqref="C17:E17">
    <cfRule type="cellIs" dxfId="1984" priority="350" operator="equal">
      <formula>""</formula>
    </cfRule>
  </conditionalFormatting>
  <conditionalFormatting sqref="C18:E18">
    <cfRule type="cellIs" dxfId="1983" priority="349" operator="equal">
      <formula>""</formula>
    </cfRule>
  </conditionalFormatting>
  <conditionalFormatting sqref="C19:E19">
    <cfRule type="cellIs" dxfId="1982" priority="348" operator="equal">
      <formula>""</formula>
    </cfRule>
  </conditionalFormatting>
  <conditionalFormatting sqref="C20:E20">
    <cfRule type="cellIs" dxfId="1981" priority="346" operator="equal">
      <formula>""</formula>
    </cfRule>
  </conditionalFormatting>
  <conditionalFormatting sqref="K4">
    <cfRule type="cellIs" dxfId="1980" priority="345" operator="equal">
      <formula>""</formula>
    </cfRule>
  </conditionalFormatting>
  <conditionalFormatting sqref="K5">
    <cfRule type="cellIs" dxfId="1979" priority="344" operator="equal">
      <formula>""</formula>
    </cfRule>
  </conditionalFormatting>
  <conditionalFormatting sqref="K6">
    <cfRule type="cellIs" dxfId="1978" priority="342" operator="equal">
      <formula>""</formula>
    </cfRule>
  </conditionalFormatting>
  <conditionalFormatting sqref="A24">
    <cfRule type="cellIs" dxfId="1977" priority="341" operator="equal">
      <formula>""</formula>
    </cfRule>
  </conditionalFormatting>
  <conditionalFormatting sqref="A25">
    <cfRule type="cellIs" dxfId="1976" priority="340" operator="equal">
      <formula>""</formula>
    </cfRule>
  </conditionalFormatting>
  <conditionalFormatting sqref="A26">
    <cfRule type="cellIs" dxfId="1975" priority="339" operator="equal">
      <formula>""</formula>
    </cfRule>
  </conditionalFormatting>
  <conditionalFormatting sqref="A27">
    <cfRule type="cellIs" dxfId="1974" priority="338" operator="equal">
      <formula>""</formula>
    </cfRule>
  </conditionalFormatting>
  <conditionalFormatting sqref="A28">
    <cfRule type="cellIs" dxfId="1973" priority="337" operator="equal">
      <formula>""</formula>
    </cfRule>
  </conditionalFormatting>
  <conditionalFormatting sqref="A29">
    <cfRule type="cellIs" dxfId="1972" priority="336" operator="equal">
      <formula>""</formula>
    </cfRule>
  </conditionalFormatting>
  <conditionalFormatting sqref="A30">
    <cfRule type="cellIs" dxfId="1971" priority="335" operator="equal">
      <formula>""</formula>
    </cfRule>
  </conditionalFormatting>
  <conditionalFormatting sqref="A31">
    <cfRule type="cellIs" dxfId="1970" priority="334" operator="equal">
      <formula>""</formula>
    </cfRule>
  </conditionalFormatting>
  <conditionalFormatting sqref="A32">
    <cfRule type="cellIs" dxfId="1969" priority="333" operator="equal">
      <formula>""</formula>
    </cfRule>
  </conditionalFormatting>
  <conditionalFormatting sqref="A33">
    <cfRule type="cellIs" dxfId="1968" priority="332" operator="equal">
      <formula>""</formula>
    </cfRule>
  </conditionalFormatting>
  <conditionalFormatting sqref="A37">
    <cfRule type="cellIs" dxfId="1967" priority="328" operator="equal">
      <formula>""</formula>
    </cfRule>
  </conditionalFormatting>
  <conditionalFormatting sqref="A35">
    <cfRule type="cellIs" dxfId="1966" priority="330" operator="equal">
      <formula>""</formula>
    </cfRule>
  </conditionalFormatting>
  <conditionalFormatting sqref="A36">
    <cfRule type="cellIs" dxfId="1965" priority="329" operator="equal">
      <formula>""</formula>
    </cfRule>
  </conditionalFormatting>
  <conditionalFormatting sqref="A40">
    <cfRule type="cellIs" dxfId="1964" priority="325" operator="equal">
      <formula>""</formula>
    </cfRule>
  </conditionalFormatting>
  <conditionalFormatting sqref="A41">
    <cfRule type="cellIs" dxfId="1963" priority="324" operator="equal">
      <formula>""</formula>
    </cfRule>
  </conditionalFormatting>
  <conditionalFormatting sqref="A42">
    <cfRule type="cellIs" dxfId="1962" priority="323" operator="equal">
      <formula>""</formula>
    </cfRule>
  </conditionalFormatting>
  <conditionalFormatting sqref="A43">
    <cfRule type="cellIs" dxfId="1961" priority="322" operator="equal">
      <formula>""</formula>
    </cfRule>
  </conditionalFormatting>
  <conditionalFormatting sqref="A44">
    <cfRule type="cellIs" dxfId="1960" priority="321" operator="equal">
      <formula>""</formula>
    </cfRule>
  </conditionalFormatting>
  <conditionalFormatting sqref="A45">
    <cfRule type="cellIs" dxfId="1959" priority="320" operator="equal">
      <formula>""</formula>
    </cfRule>
  </conditionalFormatting>
  <conditionalFormatting sqref="A46">
    <cfRule type="cellIs" dxfId="1958" priority="318" operator="equal">
      <formula>""</formula>
    </cfRule>
  </conditionalFormatting>
  <conditionalFormatting sqref="A47">
    <cfRule type="cellIs" dxfId="1957" priority="316" operator="equal">
      <formula>""</formula>
    </cfRule>
  </conditionalFormatting>
  <conditionalFormatting sqref="A48">
    <cfRule type="cellIs" dxfId="1956" priority="315" operator="equal">
      <formula>""</formula>
    </cfRule>
  </conditionalFormatting>
  <conditionalFormatting sqref="A49">
    <cfRule type="cellIs" dxfId="1955" priority="314" operator="equal">
      <formula>""</formula>
    </cfRule>
  </conditionalFormatting>
  <conditionalFormatting sqref="A50">
    <cfRule type="cellIs" dxfId="1954" priority="313" operator="equal">
      <formula>""</formula>
    </cfRule>
  </conditionalFormatting>
  <conditionalFormatting sqref="A51">
    <cfRule type="cellIs" dxfId="1953" priority="312" operator="equal">
      <formula>""</formula>
    </cfRule>
  </conditionalFormatting>
  <conditionalFormatting sqref="A52">
    <cfRule type="cellIs" dxfId="1952" priority="311" operator="equal">
      <formula>""</formula>
    </cfRule>
  </conditionalFormatting>
  <conditionalFormatting sqref="A53">
    <cfRule type="cellIs" dxfId="1951" priority="310" operator="equal">
      <formula>""</formula>
    </cfRule>
  </conditionalFormatting>
  <conditionalFormatting sqref="A54">
    <cfRule type="cellIs" dxfId="1950" priority="309" operator="equal">
      <formula>""</formula>
    </cfRule>
  </conditionalFormatting>
  <conditionalFormatting sqref="A55">
    <cfRule type="cellIs" dxfId="1949" priority="308" operator="equal">
      <formula>""</formula>
    </cfRule>
  </conditionalFormatting>
  <conditionalFormatting sqref="A56">
    <cfRule type="cellIs" dxfId="1948" priority="307" operator="equal">
      <formula>""</formula>
    </cfRule>
  </conditionalFormatting>
  <conditionalFormatting sqref="A57">
    <cfRule type="cellIs" dxfId="1947" priority="306" operator="equal">
      <formula>""</formula>
    </cfRule>
  </conditionalFormatting>
  <conditionalFormatting sqref="A58">
    <cfRule type="cellIs" dxfId="1946" priority="305" operator="equal">
      <formula>""</formula>
    </cfRule>
  </conditionalFormatting>
  <conditionalFormatting sqref="A59">
    <cfRule type="cellIs" dxfId="1945" priority="304" operator="equal">
      <formula>""</formula>
    </cfRule>
  </conditionalFormatting>
  <conditionalFormatting sqref="A60">
    <cfRule type="cellIs" dxfId="1944" priority="303" operator="equal">
      <formula>""</formula>
    </cfRule>
  </conditionalFormatting>
  <conditionalFormatting sqref="A61">
    <cfRule type="cellIs" dxfId="1943" priority="302" operator="equal">
      <formula>""</formula>
    </cfRule>
  </conditionalFormatting>
  <conditionalFormatting sqref="A62">
    <cfRule type="cellIs" dxfId="1942" priority="301" operator="equal">
      <formula>""</formula>
    </cfRule>
  </conditionalFormatting>
  <conditionalFormatting sqref="A63">
    <cfRule type="cellIs" dxfId="1941" priority="300" operator="equal">
      <formula>""</formula>
    </cfRule>
  </conditionalFormatting>
  <conditionalFormatting sqref="A64">
    <cfRule type="cellIs" dxfId="1940" priority="299" operator="equal">
      <formula>""</formula>
    </cfRule>
  </conditionalFormatting>
  <conditionalFormatting sqref="A65">
    <cfRule type="cellIs" dxfId="1939" priority="298" operator="equal">
      <formula>""</formula>
    </cfRule>
  </conditionalFormatting>
  <conditionalFormatting sqref="A66">
    <cfRule type="cellIs" dxfId="1938" priority="297" operator="equal">
      <formula>""</formula>
    </cfRule>
  </conditionalFormatting>
  <conditionalFormatting sqref="A67">
    <cfRule type="cellIs" dxfId="1937" priority="296" operator="equal">
      <formula>""</formula>
    </cfRule>
  </conditionalFormatting>
  <conditionalFormatting sqref="A68">
    <cfRule type="cellIs" dxfId="1936" priority="295" operator="equal">
      <formula>""</formula>
    </cfRule>
  </conditionalFormatting>
  <conditionalFormatting sqref="A69">
    <cfRule type="cellIs" dxfId="1935" priority="293" operator="equal">
      <formula>""</formula>
    </cfRule>
  </conditionalFormatting>
  <conditionalFormatting sqref="A70">
    <cfRule type="cellIs" dxfId="1934" priority="292" operator="equal">
      <formula>""</formula>
    </cfRule>
  </conditionalFormatting>
  <conditionalFormatting sqref="A71">
    <cfRule type="cellIs" dxfId="1933" priority="291" operator="equal">
      <formula>""</formula>
    </cfRule>
  </conditionalFormatting>
  <conditionalFormatting sqref="A72">
    <cfRule type="cellIs" dxfId="1932" priority="290" operator="equal">
      <formula>""</formula>
    </cfRule>
  </conditionalFormatting>
  <conditionalFormatting sqref="A73">
    <cfRule type="cellIs" dxfId="1931" priority="289" operator="equal">
      <formula>""</formula>
    </cfRule>
  </conditionalFormatting>
  <conditionalFormatting sqref="A74">
    <cfRule type="cellIs" dxfId="1930" priority="288" operator="equal">
      <formula>""</formula>
    </cfRule>
  </conditionalFormatting>
  <conditionalFormatting sqref="A75">
    <cfRule type="cellIs" dxfId="1929" priority="287" operator="equal">
      <formula>""</formula>
    </cfRule>
  </conditionalFormatting>
  <conditionalFormatting sqref="A76">
    <cfRule type="cellIs" dxfId="1928" priority="286" operator="equal">
      <formula>""</formula>
    </cfRule>
  </conditionalFormatting>
  <conditionalFormatting sqref="A77">
    <cfRule type="cellIs" dxfId="1927" priority="285" operator="equal">
      <formula>""</formula>
    </cfRule>
  </conditionalFormatting>
  <conditionalFormatting sqref="A78">
    <cfRule type="cellIs" dxfId="1926" priority="284" operator="equal">
      <formula>""</formula>
    </cfRule>
  </conditionalFormatting>
  <conditionalFormatting sqref="A79">
    <cfRule type="cellIs" dxfId="1925" priority="283" operator="equal">
      <formula>""</formula>
    </cfRule>
  </conditionalFormatting>
  <conditionalFormatting sqref="A80">
    <cfRule type="cellIs" dxfId="1924" priority="282" operator="equal">
      <formula>""</formula>
    </cfRule>
  </conditionalFormatting>
  <conditionalFormatting sqref="A81">
    <cfRule type="cellIs" dxfId="1923" priority="281" operator="equal">
      <formula>""</formula>
    </cfRule>
  </conditionalFormatting>
  <conditionalFormatting sqref="A82">
    <cfRule type="cellIs" dxfId="1922" priority="280" operator="equal">
      <formula>""</formula>
    </cfRule>
  </conditionalFormatting>
  <conditionalFormatting sqref="A83">
    <cfRule type="cellIs" dxfId="1921" priority="279" operator="equal">
      <formula>""</formula>
    </cfRule>
  </conditionalFormatting>
  <conditionalFormatting sqref="A84">
    <cfRule type="cellIs" dxfId="1920" priority="278" operator="equal">
      <formula>""</formula>
    </cfRule>
  </conditionalFormatting>
  <conditionalFormatting sqref="A85">
    <cfRule type="cellIs" dxfId="1919" priority="277" operator="equal">
      <formula>""</formula>
    </cfRule>
  </conditionalFormatting>
  <conditionalFormatting sqref="A86">
    <cfRule type="cellIs" dxfId="1918" priority="276" operator="equal">
      <formula>""</formula>
    </cfRule>
  </conditionalFormatting>
  <conditionalFormatting sqref="A87">
    <cfRule type="cellIs" dxfId="1917" priority="274" operator="equal">
      <formula>""</formula>
    </cfRule>
  </conditionalFormatting>
  <conditionalFormatting sqref="A88">
    <cfRule type="cellIs" dxfId="1916" priority="273" operator="equal">
      <formula>""</formula>
    </cfRule>
  </conditionalFormatting>
  <conditionalFormatting sqref="A89">
    <cfRule type="cellIs" dxfId="1915" priority="272" operator="equal">
      <formula>""</formula>
    </cfRule>
  </conditionalFormatting>
  <conditionalFormatting sqref="B87">
    <cfRule type="cellIs" dxfId="1914" priority="271" operator="equal">
      <formula>""</formula>
    </cfRule>
  </conditionalFormatting>
  <conditionalFormatting sqref="B88">
    <cfRule type="cellIs" dxfId="1913" priority="270" operator="equal">
      <formula>""</formula>
    </cfRule>
  </conditionalFormatting>
  <conditionalFormatting sqref="B89">
    <cfRule type="cellIs" dxfId="1912" priority="269" operator="equal">
      <formula>""</formula>
    </cfRule>
  </conditionalFormatting>
  <conditionalFormatting sqref="C87">
    <cfRule type="cellIs" dxfId="1911" priority="268" operator="equal">
      <formula>""</formula>
    </cfRule>
  </conditionalFormatting>
  <conditionalFormatting sqref="C88">
    <cfRule type="cellIs" dxfId="1910" priority="267" operator="equal">
      <formula>""</formula>
    </cfRule>
  </conditionalFormatting>
  <conditionalFormatting sqref="C89">
    <cfRule type="cellIs" dxfId="1909" priority="266" operator="equal">
      <formula>""</formula>
    </cfRule>
  </conditionalFormatting>
  <conditionalFormatting sqref="E87">
    <cfRule type="cellIs" dxfId="1908" priority="265" operator="equal">
      <formula>""</formula>
    </cfRule>
  </conditionalFormatting>
  <conditionalFormatting sqref="E88">
    <cfRule type="cellIs" dxfId="1907" priority="264" operator="equal">
      <formula>""</formula>
    </cfRule>
  </conditionalFormatting>
  <conditionalFormatting sqref="E89">
    <cfRule type="cellIs" dxfId="1906" priority="263" operator="equal">
      <formula>""</formula>
    </cfRule>
  </conditionalFormatting>
  <conditionalFormatting sqref="L87">
    <cfRule type="cellIs" dxfId="1905" priority="262" operator="equal">
      <formula>""</formula>
    </cfRule>
  </conditionalFormatting>
  <conditionalFormatting sqref="L89">
    <cfRule type="cellIs" dxfId="1904" priority="261" operator="equal">
      <formula>""</formula>
    </cfRule>
  </conditionalFormatting>
  <conditionalFormatting sqref="L88">
    <cfRule type="cellIs" dxfId="1903" priority="260" operator="equal">
      <formula>""</formula>
    </cfRule>
  </conditionalFormatting>
  <conditionalFormatting sqref="M87">
    <cfRule type="cellIs" dxfId="1902" priority="259" operator="equal">
      <formula>""</formula>
    </cfRule>
  </conditionalFormatting>
  <conditionalFormatting sqref="M88">
    <cfRule type="cellIs" dxfId="1901" priority="258" operator="equal">
      <formula>""</formula>
    </cfRule>
  </conditionalFormatting>
  <conditionalFormatting sqref="M89">
    <cfRule type="cellIs" dxfId="1900" priority="256" operator="equal">
      <formula>""</formula>
    </cfRule>
  </conditionalFormatting>
  <conditionalFormatting sqref="H30:K30">
    <cfRule type="cellIs" dxfId="1899" priority="240" operator="equal">
      <formula>""</formula>
    </cfRule>
  </conditionalFormatting>
  <conditionalFormatting sqref="D89">
    <cfRule type="cellIs" dxfId="1898" priority="209" operator="equal">
      <formula>""</formula>
    </cfRule>
  </conditionalFormatting>
  <conditionalFormatting sqref="D87">
    <cfRule type="cellIs" dxfId="1897" priority="211" operator="equal">
      <formula>""</formula>
    </cfRule>
  </conditionalFormatting>
  <conditionalFormatting sqref="D88">
    <cfRule type="cellIs" dxfId="1896" priority="210" operator="equal">
      <formula>""</formula>
    </cfRule>
  </conditionalFormatting>
  <conditionalFormatting sqref="T24:AB24">
    <cfRule type="duplicateValues" dxfId="1895" priority="208"/>
  </conditionalFormatting>
  <conditionalFormatting sqref="AD24:AL24">
    <cfRule type="duplicateValues" dxfId="1894" priority="207"/>
  </conditionalFormatting>
  <conditionalFormatting sqref="AM24">
    <cfRule type="duplicateValues" dxfId="1893" priority="206"/>
  </conditionalFormatting>
  <conditionalFormatting sqref="AC24">
    <cfRule type="duplicateValues" dxfId="1892" priority="205"/>
  </conditionalFormatting>
  <conditionalFormatting sqref="Y31:AC31 T31:W31">
    <cfRule type="duplicateValues" dxfId="1891" priority="204"/>
  </conditionalFormatting>
  <conditionalFormatting sqref="T34:AB34 AD34:AL34">
    <cfRule type="duplicateValues" dxfId="1890" priority="425"/>
  </conditionalFormatting>
  <conditionalFormatting sqref="AC34">
    <cfRule type="duplicateValues" dxfId="1889" priority="202"/>
  </conditionalFormatting>
  <conditionalFormatting sqref="AD35:AL35 T35:AB35">
    <cfRule type="duplicateValues" dxfId="1888" priority="426"/>
  </conditionalFormatting>
  <conditionalFormatting sqref="T36:AL36">
    <cfRule type="duplicateValues" dxfId="1887" priority="427"/>
  </conditionalFormatting>
  <conditionalFormatting sqref="T37:AM37">
    <cfRule type="duplicateValues" dxfId="1886" priority="428"/>
  </conditionalFormatting>
  <conditionalFormatting sqref="AD39:AM39">
    <cfRule type="duplicateValues" dxfId="1885" priority="193"/>
  </conditionalFormatting>
  <conditionalFormatting sqref="T39:AC39">
    <cfRule type="duplicateValues" dxfId="1884" priority="430"/>
  </conditionalFormatting>
  <conditionalFormatting sqref="AD40:AL40">
    <cfRule type="duplicateValues" dxfId="1883" priority="191"/>
  </conditionalFormatting>
  <conditionalFormatting sqref="AC40">
    <cfRule type="duplicateValues" dxfId="1882" priority="190"/>
  </conditionalFormatting>
  <conditionalFormatting sqref="AM40">
    <cfRule type="duplicateValues" dxfId="1881" priority="189"/>
  </conditionalFormatting>
  <conditionalFormatting sqref="T40:AB40">
    <cfRule type="duplicateValues" dxfId="1880" priority="431"/>
  </conditionalFormatting>
  <conditionalFormatting sqref="T41">
    <cfRule type="duplicateValues" dxfId="1879" priority="186"/>
  </conditionalFormatting>
  <conditionalFormatting sqref="Y41">
    <cfRule type="duplicateValues" dxfId="1878" priority="185"/>
  </conditionalFormatting>
  <conditionalFormatting sqref="V41">
    <cfRule type="duplicateValues" dxfId="1877" priority="184"/>
  </conditionalFormatting>
  <conditionalFormatting sqref="U41">
    <cfRule type="duplicateValues" dxfId="1876" priority="183"/>
  </conditionalFormatting>
  <conditionalFormatting sqref="AA41">
    <cfRule type="duplicateValues" dxfId="1875" priority="182"/>
  </conditionalFormatting>
  <conditionalFormatting sqref="Z41">
    <cfRule type="duplicateValues" dxfId="1874" priority="181"/>
  </conditionalFormatting>
  <conditionalFormatting sqref="W41">
    <cfRule type="duplicateValues" dxfId="1873" priority="180"/>
  </conditionalFormatting>
  <conditionalFormatting sqref="AC41">
    <cfRule type="duplicateValues" dxfId="1872" priority="179"/>
  </conditionalFormatting>
  <conditionalFormatting sqref="T42">
    <cfRule type="duplicateValues" dxfId="1871" priority="175"/>
  </conditionalFormatting>
  <conditionalFormatting sqref="W42">
    <cfRule type="duplicateValues" dxfId="1870" priority="174"/>
  </conditionalFormatting>
  <conditionalFormatting sqref="V42">
    <cfRule type="duplicateValues" dxfId="1869" priority="173"/>
  </conditionalFormatting>
  <conditionalFormatting sqref="U42">
    <cfRule type="duplicateValues" dxfId="1868" priority="172"/>
  </conditionalFormatting>
  <conditionalFormatting sqref="Y42">
    <cfRule type="duplicateValues" dxfId="1867" priority="171"/>
  </conditionalFormatting>
  <conditionalFormatting sqref="AA42">
    <cfRule type="duplicateValues" dxfId="1866" priority="170"/>
  </conditionalFormatting>
  <conditionalFormatting sqref="Z42">
    <cfRule type="duplicateValues" dxfId="1865" priority="169"/>
  </conditionalFormatting>
  <conditionalFormatting sqref="AC42">
    <cfRule type="duplicateValues" dxfId="1864" priority="168"/>
  </conditionalFormatting>
  <conditionalFormatting sqref="AC44">
    <cfRule type="duplicateValues" dxfId="1863" priority="161"/>
  </conditionalFormatting>
  <conditionalFormatting sqref="AD44:AL44">
    <cfRule type="duplicateValues" dxfId="1862" priority="160"/>
  </conditionalFormatting>
  <conditionalFormatting sqref="T44:AB44">
    <cfRule type="duplicateValues" dxfId="1861" priority="162"/>
  </conditionalFormatting>
  <conditionalFormatting sqref="T43">
    <cfRule type="duplicateValues" dxfId="1860" priority="157"/>
  </conditionalFormatting>
  <conditionalFormatting sqref="U43">
    <cfRule type="duplicateValues" dxfId="1859" priority="156"/>
  </conditionalFormatting>
  <conditionalFormatting sqref="V43">
    <cfRule type="duplicateValues" dxfId="1858" priority="155"/>
  </conditionalFormatting>
  <conditionalFormatting sqref="W43">
    <cfRule type="duplicateValues" dxfId="1857" priority="154"/>
  </conditionalFormatting>
  <conditionalFormatting sqref="X43">
    <cfRule type="duplicateValues" dxfId="1856" priority="153"/>
  </conditionalFormatting>
  <conditionalFormatting sqref="Y43">
    <cfRule type="duplicateValues" dxfId="1855" priority="152"/>
  </conditionalFormatting>
  <conditionalFormatting sqref="Z43">
    <cfRule type="duplicateValues" dxfId="1854" priority="151"/>
  </conditionalFormatting>
  <conditionalFormatting sqref="AA43">
    <cfRule type="duplicateValues" dxfId="1853" priority="150"/>
  </conditionalFormatting>
  <conditionalFormatting sqref="AB43">
    <cfRule type="duplicateValues" dxfId="1852" priority="149"/>
  </conditionalFormatting>
  <conditionalFormatting sqref="AC43">
    <cfRule type="duplicateValues" dxfId="1851" priority="148"/>
  </conditionalFormatting>
  <conditionalFormatting sqref="D45">
    <cfRule type="duplicateValues" dxfId="1850" priority="147"/>
  </conditionalFormatting>
  <conditionalFormatting sqref="AD46:AL46">
    <cfRule type="duplicateValues" dxfId="1849" priority="146"/>
  </conditionalFormatting>
  <conditionalFormatting sqref="T46:AB46">
    <cfRule type="duplicateValues" dxfId="1848" priority="432"/>
  </conditionalFormatting>
  <conditionalFormatting sqref="AX46:BF46">
    <cfRule type="duplicateValues" dxfId="1847" priority="143"/>
  </conditionalFormatting>
  <conditionalFormatting sqref="AN46:AV46">
    <cfRule type="duplicateValues" dxfId="1846" priority="144"/>
  </conditionalFormatting>
  <conditionalFormatting sqref="BR46:BZ46">
    <cfRule type="duplicateValues" dxfId="1845" priority="141"/>
  </conditionalFormatting>
  <conditionalFormatting sqref="BI46:BP46">
    <cfRule type="duplicateValues" dxfId="1844" priority="142"/>
  </conditionalFormatting>
  <conditionalFormatting sqref="CC46:CJ46">
    <cfRule type="duplicateValues" dxfId="1843" priority="433"/>
  </conditionalFormatting>
  <conditionalFormatting sqref="CL46:CT46">
    <cfRule type="duplicateValues" dxfId="1842" priority="434"/>
  </conditionalFormatting>
  <conditionalFormatting sqref="CW46:DD46">
    <cfRule type="duplicateValues" dxfId="1841" priority="137"/>
  </conditionalFormatting>
  <conditionalFormatting sqref="DF46:DN46">
    <cfRule type="duplicateValues" dxfId="1840" priority="138"/>
  </conditionalFormatting>
  <conditionalFormatting sqref="DQ46:DX46">
    <cfRule type="duplicateValues" dxfId="1839" priority="136"/>
  </conditionalFormatting>
  <conditionalFormatting sqref="DZ46:EH46">
    <cfRule type="duplicateValues" dxfId="1838" priority="135"/>
  </conditionalFormatting>
  <conditionalFormatting sqref="EK46:ER46">
    <cfRule type="duplicateValues" dxfId="1837" priority="134"/>
  </conditionalFormatting>
  <conditionalFormatting sqref="ET46:FB46">
    <cfRule type="duplicateValues" dxfId="1836" priority="133"/>
  </conditionalFormatting>
  <conditionalFormatting sqref="FE46:FL46">
    <cfRule type="duplicateValues" dxfId="1835" priority="132"/>
  </conditionalFormatting>
  <conditionalFormatting sqref="FN46:FV46">
    <cfRule type="duplicateValues" dxfId="1834" priority="131"/>
  </conditionalFormatting>
  <conditionalFormatting sqref="FY46:GF46">
    <cfRule type="duplicateValues" dxfId="1833" priority="130"/>
  </conditionalFormatting>
  <conditionalFormatting sqref="GH46:GP46">
    <cfRule type="duplicateValues" dxfId="1832" priority="129"/>
  </conditionalFormatting>
  <conditionalFormatting sqref="GS46:GZ46">
    <cfRule type="duplicateValues" dxfId="1831" priority="128"/>
  </conditionalFormatting>
  <conditionalFormatting sqref="HB46:HJ46">
    <cfRule type="duplicateValues" dxfId="1830" priority="127"/>
  </conditionalFormatting>
  <conditionalFormatting sqref="HM46:HT46">
    <cfRule type="duplicateValues" dxfId="1829" priority="126"/>
  </conditionalFormatting>
  <conditionalFormatting sqref="HV46:ID46">
    <cfRule type="duplicateValues" dxfId="1828" priority="125"/>
  </conditionalFormatting>
  <conditionalFormatting sqref="IG46:IN46">
    <cfRule type="duplicateValues" dxfId="1827" priority="124"/>
  </conditionalFormatting>
  <conditionalFormatting sqref="IP46:IX46">
    <cfRule type="duplicateValues" dxfId="1826" priority="123"/>
  </conditionalFormatting>
  <conditionalFormatting sqref="JA46:JH46">
    <cfRule type="duplicateValues" dxfId="1825" priority="122"/>
  </conditionalFormatting>
  <conditionalFormatting sqref="JJ46:JR46">
    <cfRule type="duplicateValues" dxfId="1824" priority="121"/>
  </conditionalFormatting>
  <conditionalFormatting sqref="JU46:KB46">
    <cfRule type="duplicateValues" dxfId="1823" priority="120"/>
  </conditionalFormatting>
  <conditionalFormatting sqref="KD46:KL46">
    <cfRule type="duplicateValues" dxfId="1822" priority="119"/>
  </conditionalFormatting>
  <conditionalFormatting sqref="KX46:LF46">
    <cfRule type="duplicateValues" dxfId="1821" priority="118"/>
  </conditionalFormatting>
  <conditionalFormatting sqref="KO46:KV46">
    <cfRule type="duplicateValues" dxfId="1820" priority="117"/>
  </conditionalFormatting>
  <conditionalFormatting sqref="LI46:LP46">
    <cfRule type="duplicateValues" dxfId="1819" priority="116"/>
  </conditionalFormatting>
  <conditionalFormatting sqref="LR46:LZ46">
    <cfRule type="duplicateValues" dxfId="1818" priority="115"/>
  </conditionalFormatting>
  <conditionalFormatting sqref="MC46:MJ46">
    <cfRule type="duplicateValues" dxfId="1817" priority="114"/>
  </conditionalFormatting>
  <conditionalFormatting sqref="ML46:MT46">
    <cfRule type="duplicateValues" dxfId="1816" priority="113"/>
  </conditionalFormatting>
  <conditionalFormatting sqref="MW46:ND46">
    <cfRule type="duplicateValues" dxfId="1815" priority="112"/>
  </conditionalFormatting>
  <conditionalFormatting sqref="NF46:NN46">
    <cfRule type="duplicateValues" dxfId="1814" priority="111"/>
  </conditionalFormatting>
  <conditionalFormatting sqref="NQ46:NX46">
    <cfRule type="duplicateValues" dxfId="1813" priority="110"/>
  </conditionalFormatting>
  <conditionalFormatting sqref="NZ46:OH46">
    <cfRule type="duplicateValues" dxfId="1812" priority="109"/>
  </conditionalFormatting>
  <conditionalFormatting sqref="OK46:OR46">
    <cfRule type="duplicateValues" dxfId="1811" priority="108"/>
  </conditionalFormatting>
  <conditionalFormatting sqref="OT46:PB46">
    <cfRule type="duplicateValues" dxfId="1810" priority="107"/>
  </conditionalFormatting>
  <conditionalFormatting sqref="PE46:PL46">
    <cfRule type="duplicateValues" dxfId="1809" priority="106"/>
  </conditionalFormatting>
  <conditionalFormatting sqref="PN46:PV46">
    <cfRule type="duplicateValues" dxfId="1808" priority="105"/>
  </conditionalFormatting>
  <conditionalFormatting sqref="AD47:AL47 T47:AB47">
    <cfRule type="duplicateValues" dxfId="1807" priority="104"/>
  </conditionalFormatting>
  <conditionalFormatting sqref="BH46">
    <cfRule type="duplicateValues" dxfId="1806" priority="103"/>
  </conditionalFormatting>
  <conditionalFormatting sqref="CB46">
    <cfRule type="duplicateValues" dxfId="1805" priority="102"/>
  </conditionalFormatting>
  <conditionalFormatting sqref="CV46">
    <cfRule type="duplicateValues" dxfId="1804" priority="101"/>
  </conditionalFormatting>
  <conditionalFormatting sqref="DP46">
    <cfRule type="duplicateValues" dxfId="1803" priority="100"/>
  </conditionalFormatting>
  <conditionalFormatting sqref="EJ46">
    <cfRule type="duplicateValues" dxfId="1802" priority="99"/>
  </conditionalFormatting>
  <conditionalFormatting sqref="FD46">
    <cfRule type="duplicateValues" dxfId="1801" priority="98"/>
  </conditionalFormatting>
  <conditionalFormatting sqref="FX46">
    <cfRule type="duplicateValues" dxfId="1800" priority="97"/>
  </conditionalFormatting>
  <conditionalFormatting sqref="GR46">
    <cfRule type="duplicateValues" dxfId="1799" priority="96"/>
  </conditionalFormatting>
  <conditionalFormatting sqref="HL46">
    <cfRule type="duplicateValues" dxfId="1798" priority="95"/>
  </conditionalFormatting>
  <conditionalFormatting sqref="IF46">
    <cfRule type="duplicateValues" dxfId="1797" priority="94"/>
  </conditionalFormatting>
  <conditionalFormatting sqref="IZ46">
    <cfRule type="duplicateValues" dxfId="1796" priority="93"/>
  </conditionalFormatting>
  <conditionalFormatting sqref="JT46">
    <cfRule type="duplicateValues" dxfId="1795" priority="92"/>
  </conditionalFormatting>
  <conditionalFormatting sqref="KN46">
    <cfRule type="duplicateValues" dxfId="1794" priority="91"/>
  </conditionalFormatting>
  <conditionalFormatting sqref="LH46">
    <cfRule type="duplicateValues" dxfId="1793" priority="90"/>
  </conditionalFormatting>
  <conditionalFormatting sqref="MB46">
    <cfRule type="duplicateValues" dxfId="1792" priority="89"/>
  </conditionalFormatting>
  <conditionalFormatting sqref="MV46">
    <cfRule type="duplicateValues" dxfId="1791" priority="88"/>
  </conditionalFormatting>
  <conditionalFormatting sqref="NP46">
    <cfRule type="duplicateValues" dxfId="1790" priority="87"/>
  </conditionalFormatting>
  <conditionalFormatting sqref="OJ46">
    <cfRule type="duplicateValues" dxfId="1789" priority="86"/>
  </conditionalFormatting>
  <conditionalFormatting sqref="PD46">
    <cfRule type="duplicateValues" dxfId="1788" priority="85"/>
  </conditionalFormatting>
  <conditionalFormatting sqref="AM44">
    <cfRule type="duplicateValues" dxfId="1787" priority="84"/>
  </conditionalFormatting>
  <conditionalFormatting sqref="AX47:BF47 AN47:AV47">
    <cfRule type="duplicateValues" dxfId="1786" priority="83"/>
  </conditionalFormatting>
  <conditionalFormatting sqref="BR47:BZ47 BH47:BP47">
    <cfRule type="duplicateValues" dxfId="1785" priority="82"/>
  </conditionalFormatting>
  <conditionalFormatting sqref="CL47:CT47 CB47:CJ47">
    <cfRule type="duplicateValues" dxfId="1784" priority="81"/>
  </conditionalFormatting>
  <conditionalFormatting sqref="DF47:DN47 CV47:DD47">
    <cfRule type="duplicateValues" dxfId="1783" priority="80"/>
  </conditionalFormatting>
  <conditionalFormatting sqref="DZ47:EH47 DP47:DX47">
    <cfRule type="duplicateValues" dxfId="1782" priority="79"/>
  </conditionalFormatting>
  <conditionalFormatting sqref="ET47:FB47 EJ47:ER47">
    <cfRule type="duplicateValues" dxfId="1781" priority="78"/>
  </conditionalFormatting>
  <conditionalFormatting sqref="T48:AC48">
    <cfRule type="duplicateValues" dxfId="1780" priority="77"/>
  </conditionalFormatting>
  <conditionalFormatting sqref="T49:AC49">
    <cfRule type="duplicateValues" dxfId="1779" priority="76"/>
  </conditionalFormatting>
  <conditionalFormatting sqref="T50:AC50">
    <cfRule type="duplicateValues" dxfId="1778" priority="75"/>
  </conditionalFormatting>
  <conditionalFormatting sqref="T51:AB51">
    <cfRule type="duplicateValues" dxfId="1777" priority="74"/>
  </conditionalFormatting>
  <conditionalFormatting sqref="AC51">
    <cfRule type="duplicateValues" dxfId="1776" priority="73"/>
  </conditionalFormatting>
  <conditionalFormatting sqref="T52:AB52">
    <cfRule type="duplicateValues" dxfId="1775" priority="72"/>
  </conditionalFormatting>
  <conditionalFormatting sqref="AC52">
    <cfRule type="duplicateValues" dxfId="1774" priority="71"/>
  </conditionalFormatting>
  <conditionalFormatting sqref="T53:AB53">
    <cfRule type="duplicateValues" dxfId="1773" priority="70"/>
  </conditionalFormatting>
  <conditionalFormatting sqref="AC53">
    <cfRule type="duplicateValues" dxfId="1772" priority="69"/>
  </conditionalFormatting>
  <conditionalFormatting sqref="D54">
    <cfRule type="duplicateValues" dxfId="1771" priority="68"/>
  </conditionalFormatting>
  <conditionalFormatting sqref="T56:AC56">
    <cfRule type="duplicateValues" dxfId="1770" priority="67"/>
  </conditionalFormatting>
  <conditionalFormatting sqref="T57:AB57">
    <cfRule type="duplicateValues" dxfId="1769" priority="66"/>
  </conditionalFormatting>
  <conditionalFormatting sqref="AC57">
    <cfRule type="duplicateValues" dxfId="1768" priority="65"/>
  </conditionalFormatting>
  <conditionalFormatting sqref="T58:AC58">
    <cfRule type="duplicateValues" dxfId="1767" priority="64"/>
  </conditionalFormatting>
  <conditionalFormatting sqref="T59:AC59">
    <cfRule type="duplicateValues" dxfId="1766" priority="63"/>
  </conditionalFormatting>
  <conditionalFormatting sqref="T60:AB60">
    <cfRule type="duplicateValues" dxfId="1765" priority="62"/>
  </conditionalFormatting>
  <conditionalFormatting sqref="AC60">
    <cfRule type="duplicateValues" dxfId="1764" priority="61"/>
  </conditionalFormatting>
  <conditionalFormatting sqref="AC61">
    <cfRule type="duplicateValues" dxfId="1763" priority="60"/>
  </conditionalFormatting>
  <conditionalFormatting sqref="T61:AB61">
    <cfRule type="duplicateValues" dxfId="1762" priority="59"/>
  </conditionalFormatting>
  <conditionalFormatting sqref="D62">
    <cfRule type="duplicateValues" dxfId="1761" priority="58"/>
  </conditionalFormatting>
  <conditionalFormatting sqref="T63:AB63">
    <cfRule type="duplicateValues" dxfId="1760" priority="57"/>
  </conditionalFormatting>
  <conditionalFormatting sqref="AD63:AL63">
    <cfRule type="duplicateValues" dxfId="1759" priority="56"/>
  </conditionalFormatting>
  <conditionalFormatting sqref="T64:AC64">
    <cfRule type="duplicateValues" dxfId="1758" priority="55"/>
  </conditionalFormatting>
  <conditionalFormatting sqref="T65:AC65">
    <cfRule type="duplicateValues" dxfId="1757" priority="54"/>
  </conditionalFormatting>
  <conditionalFormatting sqref="T68:AC68">
    <cfRule type="duplicateValues" dxfId="1756" priority="53"/>
  </conditionalFormatting>
  <conditionalFormatting sqref="T66:AC66">
    <cfRule type="duplicateValues" dxfId="1755" priority="435"/>
  </conditionalFormatting>
  <conditionalFormatting sqref="T67:AC67">
    <cfRule type="duplicateValues" dxfId="1754" priority="436"/>
  </conditionalFormatting>
  <conditionalFormatting sqref="T69:AB69">
    <cfRule type="duplicateValues" dxfId="1753" priority="437"/>
  </conditionalFormatting>
  <conditionalFormatting sqref="T70:AB70">
    <cfRule type="duplicateValues" dxfId="1752" priority="49"/>
  </conditionalFormatting>
  <conditionalFormatting sqref="AC70">
    <cfRule type="duplicateValues" dxfId="1751" priority="48"/>
  </conditionalFormatting>
  <conditionalFormatting sqref="T71:AC71">
    <cfRule type="duplicateValues" dxfId="1750" priority="47"/>
  </conditionalFormatting>
  <conditionalFormatting sqref="U72:AC72">
    <cfRule type="duplicateValues" dxfId="1749" priority="46"/>
  </conditionalFormatting>
  <conditionalFormatting sqref="T72">
    <cfRule type="duplicateValues" dxfId="1748" priority="45"/>
  </conditionalFormatting>
  <conditionalFormatting sqref="T73:AB73">
    <cfRule type="duplicateValues" dxfId="1747" priority="44"/>
  </conditionalFormatting>
  <conditionalFormatting sqref="T74:AB74">
    <cfRule type="duplicateValues" dxfId="1746" priority="43"/>
  </conditionalFormatting>
  <conditionalFormatting sqref="T75:AB75">
    <cfRule type="duplicateValues" dxfId="1745" priority="42"/>
  </conditionalFormatting>
  <conditionalFormatting sqref="T76:AB76">
    <cfRule type="duplicateValues" dxfId="1744" priority="41"/>
  </conditionalFormatting>
  <conditionalFormatting sqref="T77:AB77">
    <cfRule type="duplicateValues" dxfId="1743" priority="40"/>
  </conditionalFormatting>
  <conditionalFormatting sqref="AC73">
    <cfRule type="duplicateValues" dxfId="1742" priority="39"/>
  </conditionalFormatting>
  <conditionalFormatting sqref="AC74">
    <cfRule type="duplicateValues" dxfId="1741" priority="38"/>
  </conditionalFormatting>
  <conditionalFormatting sqref="AC75">
    <cfRule type="duplicateValues" dxfId="1740" priority="37"/>
  </conditionalFormatting>
  <conditionalFormatting sqref="AC76">
    <cfRule type="duplicateValues" dxfId="1739" priority="36"/>
  </conditionalFormatting>
  <conditionalFormatting sqref="AC77">
    <cfRule type="duplicateValues" dxfId="1738" priority="35"/>
  </conditionalFormatting>
  <conditionalFormatting sqref="T79:AB79">
    <cfRule type="duplicateValues" dxfId="1737" priority="34"/>
  </conditionalFormatting>
  <conditionalFormatting sqref="AC79">
    <cfRule type="duplicateValues" dxfId="1736" priority="33"/>
  </conditionalFormatting>
  <conditionalFormatting sqref="T78:AC78">
    <cfRule type="duplicateValues" dxfId="1735" priority="438"/>
  </conditionalFormatting>
  <conditionalFormatting sqref="T85:X85">
    <cfRule type="duplicateValues" dxfId="1734" priority="29"/>
  </conditionalFormatting>
  <conditionalFormatting sqref="T80:AB80">
    <cfRule type="duplicateValues" dxfId="1733" priority="20"/>
  </conditionalFormatting>
  <conditionalFormatting sqref="AC80">
    <cfRule type="duplicateValues" dxfId="1732" priority="19"/>
  </conditionalFormatting>
  <conditionalFormatting sqref="D55">
    <cfRule type="duplicateValues" dxfId="1731" priority="16"/>
  </conditionalFormatting>
  <conditionalFormatting sqref="T38:AC38">
    <cfRule type="duplicateValues" dxfId="1730" priority="14"/>
  </conditionalFormatting>
  <conditionalFormatting sqref="AM38">
    <cfRule type="duplicateValues" dxfId="1729" priority="13"/>
  </conditionalFormatting>
  <conditionalFormatting sqref="AD38:AL38">
    <cfRule type="duplicateValues" dxfId="1728" priority="12"/>
  </conditionalFormatting>
  <conditionalFormatting sqref="A34">
    <cfRule type="cellIs" dxfId="1727" priority="10" operator="equal">
      <formula>""</formula>
    </cfRule>
  </conditionalFormatting>
  <conditionalFormatting sqref="A38">
    <cfRule type="cellIs" dxfId="1726" priority="9" operator="equal">
      <formula>""</formula>
    </cfRule>
  </conditionalFormatting>
  <conditionalFormatting sqref="A39">
    <cfRule type="cellIs" dxfId="1725" priority="8" operator="equal">
      <formula>""</formula>
    </cfRule>
  </conditionalFormatting>
  <conditionalFormatting sqref="T86:AG86">
    <cfRule type="duplicateValues" dxfId="1724" priority="6"/>
  </conditionalFormatting>
  <conditionalFormatting sqref="AH86:AM86">
    <cfRule type="duplicateValues" dxfId="1723" priority="5"/>
  </conditionalFormatting>
  <conditionalFormatting sqref="I12">
    <cfRule type="expression" dxfId="1722" priority="1">
      <formula>$N$12=2</formula>
    </cfRule>
    <cfRule type="expression" dxfId="1721" priority="4">
      <formula>$N$12=1</formula>
    </cfRule>
  </conditionalFormatting>
  <conditionalFormatting sqref="L12">
    <cfRule type="expression" dxfId="1720" priority="2">
      <formula>$N$12=1</formula>
    </cfRule>
    <cfRule type="expression" dxfId="1719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5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5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352425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6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7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8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9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0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14</xdr:row>
                    <xdr:rowOff>19050</xdr:rowOff>
                  </from>
                  <to>
                    <xdr:col>10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1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2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3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4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5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352425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6" name="Option Button 19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7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18" name="Option Button 24">
              <controlPr defaultSize="0" autoFill="0" autoLine="0" autoPict="0">
                <anchor moveWithCells="1">
                  <from>
                    <xdr:col>7</xdr:col>
                    <xdr:colOff>676275</xdr:colOff>
                    <xdr:row>7</xdr:row>
                    <xdr:rowOff>9525</xdr:rowOff>
                  </from>
                  <to>
                    <xdr:col>8</xdr:col>
                    <xdr:colOff>457200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9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0" name="Option Button 28">
              <controlPr defaultSize="0" autoFill="0" autoLine="0" autoPict="0" altText="">
                <anchor moveWithCells="1">
                  <from>
                    <xdr:col>11</xdr:col>
                    <xdr:colOff>838200</xdr:colOff>
                    <xdr:row>13</xdr:row>
                    <xdr:rowOff>47625</xdr:rowOff>
                  </from>
                  <to>
                    <xdr:col>11</xdr:col>
                    <xdr:colOff>885825</xdr:colOff>
                    <xdr:row>13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1" name="Option Button 3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5" id="{26376937-140A-47E7-959B-F6341C319F82}">
            <xm:f>$H$29=Formeln!$A$150+Formeln!$A$1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H29:K29</xm:sqref>
        </x14:conditionalFormatting>
        <x14:conditionalFormatting xmlns:xm="http://schemas.microsoft.com/office/excel/2006/main">
          <x14:cfRule type="expression" priority="224" id="{71D6FC95-C060-463C-ABA7-71E7467099BC}">
            <xm:f>$H$32=Formeln!$A$1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H32:K32</xm:sqref>
        </x14:conditionalFormatting>
        <x14:conditionalFormatting xmlns:xm="http://schemas.microsoft.com/office/excel/2006/main">
          <x14:cfRule type="expression" priority="223" id="{4E9B4567-76F2-4BD3-A24D-0180D3E6AA48}">
            <xm:f>$H$41=Formeln!$A$1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H41:K41</xm:sqref>
        </x14:conditionalFormatting>
        <x14:conditionalFormatting xmlns:xm="http://schemas.microsoft.com/office/excel/2006/main">
          <x14:cfRule type="expression" priority="222" id="{A3E72E2D-2702-421A-97C6-3D3C8795B5A5}">
            <xm:f>$H$42=Formeln!$A$1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H42:K42</xm:sqref>
        </x14:conditionalFormatting>
        <x14:conditionalFormatting xmlns:xm="http://schemas.microsoft.com/office/excel/2006/main">
          <x14:cfRule type="expression" priority="220" id="{252A10F3-B1FE-476B-BE97-EF66AACDA225}">
            <xm:f>$J$46=Formeln!$A$1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J46:K46</xm:sqref>
        </x14:conditionalFormatting>
        <x14:conditionalFormatting xmlns:xm="http://schemas.microsoft.com/office/excel/2006/main">
          <x14:cfRule type="expression" priority="218" id="{6944A97E-D1FF-4DFE-9D9F-B9BD916BCC85}">
            <xm:f>$J$47=Formeln!$A$1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J47:K47</xm:sqref>
        </x14:conditionalFormatting>
        <x14:conditionalFormatting xmlns:xm="http://schemas.microsoft.com/office/excel/2006/main">
          <x14:cfRule type="expression" priority="217" id="{66954799-89B8-40D5-BB11-C23762FEE26A}">
            <xm:f>$I$85=Formeln!$A$1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I85:K85</xm:sqref>
        </x14:conditionalFormatting>
        <x14:conditionalFormatting xmlns:xm="http://schemas.microsoft.com/office/excel/2006/main">
          <x14:cfRule type="expression" priority="216" id="{798E6045-DD60-41A1-A9D4-96E0CF82E5E5}">
            <xm:f>$I$86=Formeln!$A$1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I86</xm:sqref>
        </x14:conditionalFormatting>
        <x14:conditionalFormatting xmlns:xm="http://schemas.microsoft.com/office/excel/2006/main">
          <x14:cfRule type="expression" priority="214" id="{9E9005B4-76E2-4BE5-8A22-99E84C2C860E}">
            <xm:f>$K$86=Formeln!$A$1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K86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>
          <x14:formula1>
            <xm:f>Formeln!$A$132:$A$142</xm:f>
          </x14:formula1>
          <xm:sqref>K86</xm:sqref>
        </x14:dataValidation>
        <x14:dataValidation type="list" allowBlank="1" showInputMessage="1" showErrorMessage="1">
          <x14:formula1>
            <xm:f>Formeln!$A$27:$A$48</xm:f>
          </x14:formula1>
          <xm:sqref>J46:K46</xm:sqref>
        </x14:dataValidation>
        <x14:dataValidation type="list" allowBlank="1" showInputMessage="1" showErrorMessage="1">
          <x14:formula1>
            <xm:f>Formeln!$A$20:$A$22</xm:f>
          </x14:formula1>
          <xm:sqref>I86</xm:sqref>
        </x14:dataValidation>
        <x14:dataValidation type="list" allowBlank="1" showInputMessage="1" showErrorMessage="1">
          <x14:formula1>
            <xm:f>Formeln!$A$17:$A$19</xm:f>
          </x14:formula1>
          <xm:sqref>H42:K42</xm:sqref>
        </x14:dataValidation>
        <x14:dataValidation type="list" allowBlank="1" showInputMessage="1" showErrorMessage="1">
          <x14:formula1>
            <xm:f>Formeln!$A$14:$A$16</xm:f>
          </x14:formula1>
          <xm:sqref>H41:K41</xm:sqref>
        </x14:dataValidation>
        <x14:dataValidation type="list" allowBlank="1" showInputMessage="1" showErrorMessage="1">
          <x14:formula1>
            <xm:f>Formeln!$A$9:$A$13</xm:f>
          </x14:formula1>
          <xm:sqref>H32:K32</xm:sqref>
        </x14:dataValidation>
        <x14:dataValidation type="list" allowBlank="1" showInputMessage="1" showErrorMessage="1">
          <x14:formula1>
            <xm:f>Formeln!$A$5:$A$8</xm:f>
          </x14:formula1>
          <xm:sqref>H30:K30</xm:sqref>
        </x14:dataValidation>
        <x14:dataValidation type="list" allowBlank="1" showInputMessage="1" showErrorMessage="1">
          <x14:formula1>
            <xm:f>Formeln!$A$1:$A$4</xm:f>
          </x14:formula1>
          <xm:sqref>H29:K29</xm:sqref>
        </x14:dataValidation>
        <x14:dataValidation type="list" allowBlank="1" showInputMessage="1" showErrorMessage="1">
          <x14:formula1>
            <xm:f>Formeln!$A$115:$A$120</xm:f>
          </x14:formula1>
          <xm:sqref>I85:K85</xm:sqref>
        </x14:dataValidation>
        <x14:dataValidation type="list" allowBlank="1" showInputMessage="1" showErrorMessage="1">
          <x14:formula1>
            <xm:f>Formeln!$A$49:$A$112</xm:f>
          </x14:formula1>
          <xm:sqref>J47:K47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pageSetUpPr fitToPage="1"/>
  </sheetPr>
  <dimension ref="A1:PW106"/>
  <sheetViews>
    <sheetView showGridLines="0" showZeros="0" topLeftCell="A4" zoomScaleNormal="100" workbookViewId="0">
      <selection activeCell="C8" sqref="C8:E8"/>
    </sheetView>
  </sheetViews>
  <sheetFormatPr baseColWidth="10" defaultColWidth="0" defaultRowHeight="14.25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8" width="8.73046875" style="1" hidden="1" customWidth="1"/>
    <col min="19" max="19" width="24.73046875" style="1" hidden="1" customWidth="1"/>
    <col min="20" max="20" width="18.86328125" style="1" hidden="1" customWidth="1"/>
    <col min="21" max="16384" width="8.73046875" style="1" hidden="1"/>
  </cols>
  <sheetData>
    <row r="1" spans="1:17" ht="27.75">
      <c r="M1" s="2" t="str">
        <f>VLOOKUP("PREFA DACHSYSTEME",Sprachindex!A:Z,Info!$O$6,FALSE)</f>
        <v>PREFA DACHSYSTEME</v>
      </c>
    </row>
    <row r="2" spans="1:17" ht="27.75">
      <c r="D2" s="23"/>
      <c r="M2" s="2" t="str">
        <f>VLOOKUP("DACHSCHINDEL",Sprachindex!A:Z,Info!$O$6,FALSE)</f>
        <v>DACHSCHINDEL</v>
      </c>
    </row>
    <row r="3" spans="1:17" ht="15" customHeight="1"/>
    <row r="4" spans="1:17" ht="17.25" customHeight="1">
      <c r="J4" s="152" t="str">
        <f>VLOOKUP("RETOURNIERUNG PER FAX:",Sprachindex!A:Z,Info!$O$6,FALSE)</f>
        <v>RETOURNIERUNG PER FAX:</v>
      </c>
      <c r="K4" s="292"/>
      <c r="L4" s="293"/>
      <c r="M4" s="294"/>
      <c r="Q4" s="3"/>
    </row>
    <row r="5" spans="1:17" ht="17.25" customHeight="1">
      <c r="J5" s="152" t="str">
        <f>VLOOKUP("ODER EMAIL:",Sprachindex!A:Z,Info!$O$6,FALSE)</f>
        <v>ODER EMAIL:</v>
      </c>
      <c r="K5" s="292"/>
      <c r="L5" s="293"/>
      <c r="M5" s="294"/>
      <c r="Q5" s="3"/>
    </row>
    <row r="6" spans="1:17" ht="17.25" customHeight="1">
      <c r="J6" s="152" t="str">
        <f>VLOOKUP("Datum:",Sprachindex!A:Z,Info!$O$6,FALSE)</f>
        <v>Datum:</v>
      </c>
      <c r="K6" s="292"/>
      <c r="L6" s="293"/>
      <c r="M6" s="294"/>
      <c r="N6" s="109">
        <v>1</v>
      </c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N7" s="110"/>
      <c r="P7" s="13"/>
    </row>
    <row r="8" spans="1:17" ht="15" customHeight="1"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57" t="str">
        <f>VLOOKUP("stucco",Sprachindex!A:Z,Info!$O$6,FALSE)</f>
        <v>stucco</v>
      </c>
      <c r="J8" s="122"/>
      <c r="K8" s="123"/>
      <c r="L8" s="122" t="str">
        <f>VLOOKUP("glatt",Sprachindex!A:Z,Info!$O$6,FALSE)</f>
        <v>glatt</v>
      </c>
      <c r="N8" s="111"/>
      <c r="O8" s="14"/>
      <c r="Q8" s="4"/>
    </row>
    <row r="9" spans="1:17" ht="15" customHeight="1"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57"/>
      <c r="J9" s="124">
        <v>1</v>
      </c>
      <c r="K9" s="123"/>
      <c r="L9" s="123"/>
      <c r="N9" s="110"/>
      <c r="Q9" s="4"/>
    </row>
    <row r="10" spans="1:17" ht="15" customHeight="1"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N10" s="204"/>
      <c r="O10" s="14"/>
      <c r="Q10" s="4"/>
    </row>
    <row r="11" spans="1:17" ht="15" customHeight="1">
      <c r="B11" s="123"/>
      <c r="C11" s="123"/>
      <c r="D11" s="123"/>
      <c r="E11" s="123"/>
      <c r="F11" s="123"/>
      <c r="G11" s="123"/>
      <c r="H11" s="123"/>
      <c r="I11" s="158"/>
      <c r="J11" s="124">
        <v>1</v>
      </c>
      <c r="K11" s="123"/>
      <c r="L11" s="123"/>
      <c r="N11" s="110"/>
    </row>
    <row r="12" spans="1:17" ht="15" customHeight="1"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N12" s="109"/>
      <c r="O12" s="15"/>
      <c r="Q12" s="4"/>
    </row>
    <row r="13" spans="1:17" ht="15" customHeight="1"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N13" s="110"/>
      <c r="Q13" s="4"/>
    </row>
    <row r="14" spans="1:17" ht="15" customHeight="1"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N14" s="110"/>
      <c r="Q14" s="4"/>
    </row>
    <row r="15" spans="1:17" ht="15" customHeight="1">
      <c r="B15" s="123"/>
      <c r="C15" s="123"/>
      <c r="D15" s="123"/>
      <c r="E15" s="123"/>
      <c r="F15" s="123"/>
      <c r="G15" s="123" t="str">
        <f>VLOOKUP("01 P.10 braun",Sprachindex!A:Z,Info!$O$6,FALSE)</f>
        <v>01 P.10 braun</v>
      </c>
      <c r="H15" s="123"/>
      <c r="I15" s="123"/>
      <c r="J15" s="122" t="str">
        <f>VLOOKUP("07 P.10 hellgrau ",Sprachindex!A:Z,Info!$O$6,FALSE)</f>
        <v xml:space="preserve">07 P.10 hellgrau </v>
      </c>
      <c r="K15" s="123"/>
      <c r="L15" s="123"/>
      <c r="N15" s="110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P.10 anthrazit",Sprachindex!A:Z,Info!$O$6,FALSE)</f>
        <v>02 P.10 anthrazit</v>
      </c>
      <c r="H16" s="123"/>
      <c r="I16" s="123"/>
      <c r="J16" s="125" t="str">
        <f>VLOOKUP("11 P.10 nussbraun",Sprachindex!A:Z,Info!$O$6,FALSE)</f>
        <v>11 P.10 nussbraun</v>
      </c>
      <c r="K16" s="123"/>
      <c r="L16" s="123"/>
      <c r="N16" s="110"/>
      <c r="P16" s="13"/>
    </row>
    <row r="17" spans="1:39" ht="15" customHeight="1"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P.10 schwarz",Sprachindex!A:Z,Info!$O$6,FALSE)</f>
        <v>03 P.10 schwarz</v>
      </c>
      <c r="H17" s="123"/>
      <c r="I17" s="123"/>
      <c r="J17" s="125" t="str">
        <f>VLOOKUP("43 P.10 steingrau",Sprachindex!A:Z,Info!$O$6,FALSE)</f>
        <v>43 P.10 steingrau</v>
      </c>
      <c r="K17" s="123"/>
      <c r="L17" s="123"/>
      <c r="N17" s="112"/>
      <c r="Q17" s="4"/>
    </row>
    <row r="18" spans="1:39" ht="15" customHeight="1"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P.10 ziegelrot",Sprachindex!A:Z,Info!$O$6,FALSE)</f>
        <v>04 P.10 ziegelrot</v>
      </c>
      <c r="H18" s="123"/>
      <c r="I18" s="123"/>
      <c r="J18" s="125" t="str">
        <f>VLOOKUP("13 naturblank",Sprachindex!A:Z,Info!$O$6,FALSE)</f>
        <v>13 naturblank</v>
      </c>
      <c r="K18" s="123"/>
      <c r="L18" s="123"/>
      <c r="N18" s="110"/>
      <c r="Q18" s="4"/>
    </row>
    <row r="19" spans="1:39" ht="15" customHeight="1"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P.10 oxydrot",Sprachindex!A:Z,Info!$O$6,FALSE)</f>
        <v>05 P.10 oxydrot</v>
      </c>
      <c r="H19" s="123"/>
      <c r="I19" s="123"/>
      <c r="J19" s="125"/>
      <c r="K19" s="123"/>
      <c r="L19" s="124"/>
      <c r="N19" s="110"/>
      <c r="Q19" s="4"/>
      <c r="S19" s="61"/>
      <c r="T19" s="61"/>
    </row>
    <row r="20" spans="1:39" ht="15" customHeight="1"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P.10 moosgrün",Sprachindex!A:Z,Info!$O$6,FALSE)</f>
        <v>06 P.10 moosgrün</v>
      </c>
      <c r="H20" s="123"/>
      <c r="I20" s="160"/>
      <c r="J20" s="161"/>
      <c r="K20" s="161"/>
      <c r="L20" s="123"/>
      <c r="N20" s="109"/>
      <c r="Q20" s="4"/>
    </row>
    <row r="21" spans="1:39" ht="15" customHeight="1">
      <c r="B21" s="127"/>
      <c r="C21" s="123"/>
      <c r="D21" s="123"/>
      <c r="E21" s="123"/>
      <c r="F21" s="123"/>
      <c r="G21" s="123"/>
      <c r="H21" s="123"/>
      <c r="I21" s="160"/>
      <c r="J21" s="123"/>
      <c r="K21" s="123"/>
      <c r="L21" s="123"/>
      <c r="Q21" s="4"/>
    </row>
    <row r="22" spans="1:39" s="123" customFormat="1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</row>
    <row r="23" spans="1:39" s="123" customFormat="1" ht="35.1" customHeight="1" thickBot="1">
      <c r="A23" s="128" t="str">
        <f>VLOOKUP("Menge",Sprachindex!A:Z,Info!$O$6,FALSE)</f>
        <v>Menge</v>
      </c>
      <c r="B23" s="207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Q23" s="167"/>
      <c r="T23" s="168" t="s">
        <v>1554</v>
      </c>
      <c r="U23" s="168" t="s">
        <v>1555</v>
      </c>
      <c r="V23" s="168" t="s">
        <v>1556</v>
      </c>
      <c r="W23" s="168" t="s">
        <v>1557</v>
      </c>
      <c r="X23" s="168" t="s">
        <v>1558</v>
      </c>
      <c r="Y23" s="168" t="s">
        <v>1559</v>
      </c>
      <c r="Z23" s="168" t="s">
        <v>1560</v>
      </c>
      <c r="AA23" s="168" t="s">
        <v>1561</v>
      </c>
      <c r="AB23" s="168" t="s">
        <v>1562</v>
      </c>
      <c r="AC23" s="168" t="s">
        <v>1563</v>
      </c>
      <c r="AD23" s="168" t="s">
        <v>1554</v>
      </c>
      <c r="AE23" s="168" t="s">
        <v>1555</v>
      </c>
      <c r="AF23" s="168" t="s">
        <v>1556</v>
      </c>
      <c r="AG23" s="168" t="s">
        <v>1557</v>
      </c>
      <c r="AH23" s="168" t="s">
        <v>1558</v>
      </c>
      <c r="AI23" s="168" t="s">
        <v>1559</v>
      </c>
      <c r="AJ23" s="168" t="s">
        <v>1560</v>
      </c>
      <c r="AK23" s="168" t="s">
        <v>1561</v>
      </c>
      <c r="AL23" s="168" t="s">
        <v>1562</v>
      </c>
      <c r="AM23" s="168" t="s">
        <v>1563</v>
      </c>
    </row>
    <row r="24" spans="1:39" ht="32.1" customHeight="1">
      <c r="A24" s="169"/>
      <c r="B24" s="133" t="str">
        <f>VLOOKUP("m²",Sprachindex!A:Z,Info!$O$6,FALSE)</f>
        <v>m²</v>
      </c>
      <c r="C24" s="170"/>
      <c r="D24" s="171">
        <f>IF(AND($N$8=2,$N$20=1),T24,IF(AND($N$8=2,$N$20=4),U24,IF(AND($N$8=2,$N$20=5),V24,IF(AND($N$8=2,$N$20=11),W24,IF(AND($N$8=2,$N$20=7),X24,IF(AND($N$8=2,$N$20=3),Y24,IF(AND($N$8=2,$N$20=6),Z24,IF(AND($N$8=2,$N$20=9),AA24,IF(AND($N$8=2,$N$20=2),AB24,IF(AND($N$8=2,$N$20=8),AC24,IF(AND($N$8=1,$N$20=1),AD24,IF(AND($N$8=1,$N$20=1),AD24,IF(AND($N$8=1,$N$20=4),AE24,IF(AND($N$8=1,$N$20=5),AF24,IF(AND($N$8=1,$N$20=11),AG24,IF(AND($N$8=1,$N$20=7),AH24,IF(AND($N$8=1,$N$20=3),AI24,IF(AND($N$8=1,$N$20=6),AJ24,IF(AND($N$8=1,$N$20=9),AK24,IF(AND($N$8=1,$N$20=2),AL24,IF(AND($N$8=1,$N$20=8),AM24,0)))))))))))))))))))))</f>
        <v>0</v>
      </c>
      <c r="E24" s="295" t="str">
        <f>VLOOKUP("PREFA Dachschindel (420 × 240 mm)",Sprachindex!A:Z,Info!$O$6,FALSE)</f>
        <v>PREFA Dachschindel (420 × 240 mm)</v>
      </c>
      <c r="F24" s="296"/>
      <c r="G24" s="296"/>
      <c r="H24" s="296"/>
      <c r="I24" s="296"/>
      <c r="J24" s="296"/>
      <c r="K24" s="297"/>
      <c r="L24" s="133" t="str">
        <f t="shared" ref="L24:L55" si="0">IF(A24=0,"",IF($N$10=1,P24,Q24))</f>
        <v/>
      </c>
      <c r="M24" s="172"/>
      <c r="O24" s="1"/>
      <c r="P24" s="56"/>
      <c r="Q24" s="60" t="str">
        <f>TRUNC(ROUNDUP(A24/(1/10),0)*(1/10),2) &amp; " m²                                    " &amp; "(="&amp;ROUNDUP(A24/(1/10),0) &amp;" Stk)"</f>
        <v>0 m²                                    (=0 Stk)</v>
      </c>
      <c r="T24" s="72">
        <v>110720</v>
      </c>
      <c r="U24" s="72">
        <v>110721</v>
      </c>
      <c r="V24" s="72">
        <v>110722</v>
      </c>
      <c r="W24" s="72">
        <v>110723</v>
      </c>
      <c r="X24" s="72">
        <v>110724</v>
      </c>
      <c r="Y24" s="72">
        <v>110725</v>
      </c>
      <c r="Z24" s="72">
        <v>110726</v>
      </c>
      <c r="AA24" s="72">
        <v>110727</v>
      </c>
      <c r="AB24" s="72">
        <v>110728</v>
      </c>
      <c r="AD24" s="72">
        <v>110730</v>
      </c>
      <c r="AE24" s="72">
        <v>110731</v>
      </c>
      <c r="AF24" s="72">
        <v>110732</v>
      </c>
      <c r="AG24" s="72">
        <v>110733</v>
      </c>
      <c r="AH24" s="72">
        <v>110734</v>
      </c>
      <c r="AI24" s="72">
        <v>110735</v>
      </c>
      <c r="AJ24" s="72">
        <v>110736</v>
      </c>
      <c r="AK24" s="72">
        <v>110737</v>
      </c>
      <c r="AL24" s="72">
        <v>110738</v>
      </c>
      <c r="AM24" s="72">
        <v>591048</v>
      </c>
    </row>
    <row r="25" spans="1:39" ht="32.1" customHeight="1">
      <c r="A25" s="164"/>
      <c r="B25" s="137" t="str">
        <f>VLOOKUP("Stk",Sprachindex!A:Z,Info!$O$6,FALSE)</f>
        <v>STK</v>
      </c>
      <c r="C25" s="135"/>
      <c r="D25" s="136">
        <f>IF(AND($N$8=2,$N$20=1),T25,IF(AND($N$8=2,$N$20=4),U25,IF(AND($N$8=2,$N$20=5),V25,IF(AND($N$8=2,$N$20=11),W25,IF(AND($N$8=2,$N$20=7),X25,IF(AND($N$8=2,$N$20=3),Y25,IF(AND($N$8=2,$N$20=6),Z25,IF(AND($N$8=2,$N$20=9),AA25,IF(AND($N$8=2,$N$20=2),AB25,IF(AND($N$8=2,$N$20=8),AC25,IF(AND($N$8=1,$N$20=1),AD25,IF(AND($N$8=1,$N$20=1),AD25,IF(AND($N$8=1,$N$20=4),AE25,IF(AND($N$8=1,$N$20=5),AF25,IF(AND($N$8=1,$N$20=11),AG25,IF(AND($N$8=1,$N$20=7),AH25,IF(AND($N$8=1,$N$20=3),AI25,IF(AND($N$8=1,$N$20=6),AJ25,IF(AND($N$8=1,$N$20=9),AK25,IF(AND($N$8=1,$N$20=2),AL25,IF(AND($N$8=1,$N$20=8),AM25,0)))))))))))))))))))))</f>
        <v>0</v>
      </c>
      <c r="E25" s="264" t="str">
        <f>VLOOKUP("PREFA Passschindel für Anschlüsse (840 × 240 mm)",Sprachindex!A:Z,Info!$O$6,FALSE)</f>
        <v>PREFA Passschindel für Anschlüsse (840 × 240 mm)</v>
      </c>
      <c r="F25" s="265"/>
      <c r="G25" s="265"/>
      <c r="H25" s="265"/>
      <c r="I25" s="265"/>
      <c r="J25" s="265"/>
      <c r="K25" s="266"/>
      <c r="L25" s="137" t="str">
        <f t="shared" si="0"/>
        <v/>
      </c>
      <c r="M25" s="138"/>
      <c r="O25" s="1"/>
      <c r="P25" s="11"/>
      <c r="Q25" s="11" t="str">
        <f>ROUNDUP(A25/1,0)*1 &amp;" " &amp; VLOOKUP("Stk",Sprachindex!A:Z,Info!$O$6,FALSE)</f>
        <v>0 STK</v>
      </c>
      <c r="T25" s="72">
        <v>110740</v>
      </c>
      <c r="U25" s="72">
        <v>110741</v>
      </c>
      <c r="V25" s="72">
        <v>110742</v>
      </c>
      <c r="W25" s="72">
        <v>110743</v>
      </c>
      <c r="X25" s="72">
        <v>110744</v>
      </c>
      <c r="Y25" s="72">
        <v>110745</v>
      </c>
      <c r="Z25" s="72">
        <v>110746</v>
      </c>
      <c r="AA25" s="72">
        <v>110747</v>
      </c>
      <c r="AB25" s="72">
        <v>110748</v>
      </c>
      <c r="AD25" s="72">
        <v>110750</v>
      </c>
      <c r="AE25" s="72">
        <v>110751</v>
      </c>
      <c r="AF25" s="72">
        <v>110752</v>
      </c>
      <c r="AG25" s="72">
        <v>110753</v>
      </c>
      <c r="AH25" s="72">
        <v>110754</v>
      </c>
      <c r="AI25" s="72">
        <v>110755</v>
      </c>
      <c r="AJ25" s="72">
        <v>110756</v>
      </c>
      <c r="AK25" s="72">
        <v>110757</v>
      </c>
      <c r="AL25" s="72">
        <v>110758</v>
      </c>
    </row>
    <row r="26" spans="1:39" ht="32.1" customHeight="1">
      <c r="A26" s="164"/>
      <c r="B26" s="137" t="str">
        <f>VLOOKUP("Stk",Sprachindex!A:Z,Info!$O$6,FALSE)</f>
        <v>STK</v>
      </c>
      <c r="C26" s="135"/>
      <c r="D26" s="136">
        <v>505001</v>
      </c>
      <c r="E26" s="264" t="str">
        <f>VLOOKUP("PREFA Patenthaft für Dachplatte und Dachschindel",Sprachindex!A:Z,Info!$O$6,FALSE)</f>
        <v>PREFA Patenthaft für Dachplatte und Dachschindel</v>
      </c>
      <c r="F26" s="265"/>
      <c r="G26" s="265"/>
      <c r="H26" s="265"/>
      <c r="I26" s="265"/>
      <c r="J26" s="265"/>
      <c r="K26" s="266"/>
      <c r="L26" s="137" t="str">
        <f t="shared" si="0"/>
        <v/>
      </c>
      <c r="M26" s="138"/>
      <c r="O26" s="1"/>
      <c r="P26" s="11"/>
      <c r="Q26" s="11" t="str">
        <f>A26 &amp;" " &amp; VLOOKUP("Stk",Sprachindex!A:Z,Info!$O$6,FALSE)</f>
        <v xml:space="preserve"> STK</v>
      </c>
    </row>
    <row r="27" spans="1:39" ht="32.1" customHeight="1">
      <c r="A27" s="164"/>
      <c r="B27" s="137" t="str">
        <f>VLOOKUP("lfm",Sprachindex!A:Z,Info!$O$6,FALSE)</f>
        <v>lfm</v>
      </c>
      <c r="C27" s="135"/>
      <c r="D27" s="141">
        <v>562005</v>
      </c>
      <c r="E27" s="264" t="str">
        <f>VLOOKUP("PREFA Saumstreifen (1.800 × 158 × 1,00 mm)",Sprachindex!A:Z,Info!$O$6,FALSE)</f>
        <v>PREFA Saumstreifen (1.800 × 158 × 1,00 mm)</v>
      </c>
      <c r="F27" s="265"/>
      <c r="G27" s="265"/>
      <c r="H27" s="265"/>
      <c r="I27" s="265"/>
      <c r="J27" s="265"/>
      <c r="K27" s="266"/>
      <c r="L27" s="137" t="str">
        <f t="shared" si="0"/>
        <v/>
      </c>
      <c r="M27" s="138"/>
      <c r="O27" s="1"/>
      <c r="P27" s="31"/>
      <c r="Q27" s="31" t="str">
        <f>ROUNDUP(A27/1.8,0)*1.8 &amp; " " &amp; Formeln!A124 &amp; "                                 " &amp; "(="&amp;ROUNDUP(A27/1.8,0) &amp;" " &amp; Formeln!A123 &amp; ")"</f>
        <v>0 lfm                                 (=0 STK)</v>
      </c>
    </row>
    <row r="28" spans="1:39" ht="32.1" customHeight="1">
      <c r="A28" s="164"/>
      <c r="B28" s="137" t="str">
        <f>VLOOKUP("kg",Sprachindex!A:Z,Info!$O$6,FALSE)</f>
        <v>kg</v>
      </c>
      <c r="C28" s="135"/>
      <c r="D28" s="136">
        <f>IF(H28=Formeln!A2,340392,IF(H28=Formeln!A3,340394,IF(H28=Formeln!A4,341392,0)))</f>
        <v>0</v>
      </c>
      <c r="E28" s="283" t="str">
        <f>VLOOKUP("PREFA Rillennagel verzinkt",Sprachindex!A:Z,Info!$O$6,FALSE)</f>
        <v>PREFA Rillennagel verzinkt</v>
      </c>
      <c r="F28" s="284"/>
      <c r="G28" s="284"/>
      <c r="H28" s="269"/>
      <c r="I28" s="270"/>
      <c r="J28" s="270"/>
      <c r="K28" s="271"/>
      <c r="L28" s="137" t="str">
        <f t="shared" si="0"/>
        <v/>
      </c>
      <c r="M28" s="138"/>
      <c r="O28" s="1"/>
      <c r="P28" s="57"/>
      <c r="Q28" s="57" t="str">
        <f>ROUNDUP(A28/2.5,0)*2.5 &amp; " " &amp; Formeln!A126 &amp; "                              " &amp; "(="&amp;ROUNDUP(A28/2.5,0)*2.5*R28 &amp;"" &amp; Formeln!A123 &amp; ")"</f>
        <v>0 kg                              (=0STK)</v>
      </c>
      <c r="R28" s="8">
        <f>IF(H28=Formeln!A2,570,IF(H28=Formeln!A3,480,IF(H28=Formeln!A4,380,0)))</f>
        <v>0</v>
      </c>
    </row>
    <row r="29" spans="1:39" ht="32.1" customHeight="1">
      <c r="A29" s="164"/>
      <c r="B29" s="137" t="str">
        <f>VLOOKUP("Karton",Sprachindex!A:Z,Info!$O$6,FALSE)</f>
        <v>Karton</v>
      </c>
      <c r="C29" s="135"/>
      <c r="D29" s="136">
        <f>IF(H29=Formeln!A6,341395,IF(H29=Formeln!A7,341396,IF(H29=Formeln!A8,341398,0)))</f>
        <v>0</v>
      </c>
      <c r="E29" s="283" t="str">
        <f>VLOOKUP("Nägel für Bull Tack Power Nagler",Sprachindex!A:Z,Info!$O$6,FALSE)</f>
        <v>Nägel für Bull Tack Power Nagler</v>
      </c>
      <c r="F29" s="284"/>
      <c r="G29" s="284"/>
      <c r="H29" s="269"/>
      <c r="I29" s="270"/>
      <c r="J29" s="270"/>
      <c r="K29" s="271"/>
      <c r="L29" s="137" t="str">
        <f t="shared" si="0"/>
        <v/>
      </c>
      <c r="M29" s="138"/>
      <c r="O29" s="1"/>
      <c r="P29" s="57"/>
      <c r="Q29" s="57" t="str">
        <f>A29 &amp; " " &amp; Formeln!A125 &amp; "                    " &amp; "(="&amp;R29*A29 &amp;"" &amp; Formeln!A123 &amp; ")"</f>
        <v xml:space="preserve"> Karton                    (=0STK)</v>
      </c>
      <c r="R29" s="8">
        <f>IF(H29=Formeln!A7,2400,3200)</f>
        <v>3200</v>
      </c>
    </row>
    <row r="30" spans="1:39" ht="32.1" customHeight="1">
      <c r="A30" s="164"/>
      <c r="B30" s="137" t="str">
        <f>VLOOKUP("lfm",Sprachindex!A:Z,Info!$O$6,FALSE)</f>
        <v>lfm</v>
      </c>
      <c r="C30" s="135"/>
      <c r="D30" s="136">
        <f>IF($N$20=1,T30,IF($N$20=4,U30,IF($N$20=5,V30,IF($N$20=11,W30,IF($N$20=7,X30,IF($N$20=3,Y30,IF($N$20=6,Z30,IF($N$20=9,AA30,IF($N$20=2,AB30,IF($N$20=8,AC30,0))))))))))</f>
        <v>0</v>
      </c>
      <c r="E30" s="264" t="str">
        <f>VLOOKUP("PREFA Einlaufblech glatt 230 × 2.000 × 0,7 mm",Sprachindex!A:Z,Info!$O$6,FALSE)</f>
        <v>PREFA Einlaufblech glatt 230 × 2.000 × 0,7 mm</v>
      </c>
      <c r="F30" s="265"/>
      <c r="G30" s="265"/>
      <c r="H30" s="265"/>
      <c r="I30" s="265"/>
      <c r="J30" s="265"/>
      <c r="K30" s="266"/>
      <c r="L30" s="137" t="str">
        <f t="shared" si="0"/>
        <v/>
      </c>
      <c r="M30" s="138"/>
      <c r="O30" s="1"/>
      <c r="P30" s="11"/>
      <c r="Q30" s="11" t="str">
        <f>ROUNDUP(A30/2,0)*2 &amp;" " &amp; VLOOKUP("lfm",Sprachindex!A:Z,Info!$O$6,FALSE)</f>
        <v>0 lfm</v>
      </c>
      <c r="T30" s="72">
        <v>563004</v>
      </c>
      <c r="U30" s="72">
        <v>563006</v>
      </c>
      <c r="V30" s="72">
        <v>563001</v>
      </c>
      <c r="W30" s="72">
        <v>563005</v>
      </c>
      <c r="Y30" s="72">
        <v>563007</v>
      </c>
      <c r="Z30" s="72">
        <v>563016</v>
      </c>
      <c r="AA30" s="72">
        <v>563011</v>
      </c>
      <c r="AB30" s="72">
        <v>563017</v>
      </c>
      <c r="AC30" s="72">
        <v>563002</v>
      </c>
    </row>
    <row r="31" spans="1:39" ht="32.1" customHeight="1">
      <c r="A31" s="164"/>
      <c r="B31" s="137" t="str">
        <f>VLOOKUP("lfm",Sprachindex!A:Z,Info!$O$6,FALSE)</f>
        <v>lfm</v>
      </c>
      <c r="C31" s="140"/>
      <c r="D31" s="141">
        <f>IF(H31=Formeln!A10,507400,IF(H31=Formeln!A11,507401,IF(H31=Formeln!A12,507410,IF(H31=Formeln!A13,507411,0))))</f>
        <v>0</v>
      </c>
      <c r="E31" s="264" t="str">
        <f>VLOOKUP("PREFA Lüftungsband",Sprachindex!A:Z,Info!$O$6,FALSE)</f>
        <v>PREFA Lüftungsband</v>
      </c>
      <c r="F31" s="265"/>
      <c r="G31" s="265"/>
      <c r="H31" s="269"/>
      <c r="I31" s="270"/>
      <c r="J31" s="270"/>
      <c r="K31" s="271"/>
      <c r="L31" s="137" t="str">
        <f t="shared" si="0"/>
        <v/>
      </c>
      <c r="M31" s="138"/>
      <c r="O31" s="1"/>
      <c r="P31" s="11"/>
      <c r="Q31" s="11" t="str">
        <f>ROUNDUP(A31/40,0)*40 &amp;" " &amp; VLOOKUP("lfm",Sprachindex!A:Z,Info!$O$6,FALSE)</f>
        <v>0 lfm</v>
      </c>
    </row>
    <row r="32" spans="1:39" ht="32.1" customHeight="1">
      <c r="A32" s="164"/>
      <c r="B32" s="137" t="str">
        <f>VLOOKUP("lfm",Sprachindex!A:Z,Info!$O$6,FALSE)</f>
        <v>lfm</v>
      </c>
      <c r="C32" s="135"/>
      <c r="D32" s="136">
        <v>507300</v>
      </c>
      <c r="E32" s="264" t="str">
        <f>VLOOKUP("PREFA Vogelschutzgitter braun/anthrazit (125x2.000x0,7mm)",Sprachindex!A:Z,Info!$O$6,FALSE)</f>
        <v>PREFA Vogelschutzgitter braun/anthrazit (125x2.000x0,7mm)</v>
      </c>
      <c r="F32" s="265"/>
      <c r="G32" s="265"/>
      <c r="H32" s="265"/>
      <c r="I32" s="265"/>
      <c r="J32" s="265"/>
      <c r="K32" s="266"/>
      <c r="L32" s="137" t="str">
        <f t="shared" si="0"/>
        <v/>
      </c>
      <c r="M32" s="138"/>
      <c r="O32" s="1"/>
      <c r="P32" s="11"/>
      <c r="Q32" s="11" t="str">
        <f>ROUNDUP(A32/2,0)*2 &amp;" " &amp; VLOOKUP("lfm",Sprachindex!A:Z,Info!$O$6,FALSE)</f>
        <v>0 lfm</v>
      </c>
    </row>
    <row r="33" spans="1:439" ht="32.1" customHeight="1">
      <c r="A33" s="164"/>
      <c r="B33" s="137" t="str">
        <f>VLOOKUP("lfm",Sprachindex!A:Z,Info!$O$6,FALSE)</f>
        <v>lfm</v>
      </c>
      <c r="C33" s="135"/>
      <c r="D33" s="136">
        <f t="shared" ref="D33:D39" si="1">IF(AND($N$8=2,$N$20=1),T33,IF(AND($N$8=2,$N$20=4),U33,IF(AND($N$8=2,$N$20=5),V33,IF(AND($N$8=2,$N$20=11),W33,IF(AND($N$8=2,$N$20=7),X33,IF(AND($N$8=2,$N$20=3),Y33,IF(AND($N$8=2,$N$20=6),Z33,IF(AND($N$8=2,$N$20=9),AA33,IF(AND($N$8=2,$N$20=2),AB33,IF(AND($N$8=2,$N$20=8),AC33,IF(AND($N$8=1,$N$20=1),AD33,IF(AND($N$8=1,$N$20=1),AD33,IF(AND($N$8=1,$N$20=4),AE33,IF(AND($N$8=1,$N$20=5),AF33,IF(AND($N$8=1,$N$20=11),AG33,IF(AND($N$8=1,$N$20=7),AH33,IF(AND($N$8=1,$N$20=3),AI33,IF(AND($N$8=1,$N$20=6),AJ33,IF(AND($N$8=1,$N$20=9),AK33,IF(AND($N$8=1,$N$20=2),AL33,IF(AND($N$8=1,$N$20=8),AM33,0)))))))))))))))))))))</f>
        <v>0</v>
      </c>
      <c r="E33" s="264" t="str">
        <f>VLOOKUP("PREFA Ortgangstreifen (95 x 2.000 x 0,70 mm)",Sprachindex!A:Z,Info!$O$6,FALSE)</f>
        <v>PREFA Ortgangstreifen (95 x 2.000 x 0,70 mm)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38"/>
      <c r="O33" s="1"/>
      <c r="P33" s="11"/>
      <c r="Q33" s="11" t="str">
        <f>ROUNDUP(A33/2,0)*2 &amp;" " &amp; VLOOKUP("lfm",Sprachindex!A:Z,Info!$O$6,FALSE)</f>
        <v>0 lfm</v>
      </c>
      <c r="T33" s="72">
        <v>110500</v>
      </c>
      <c r="U33" s="72">
        <v>110501</v>
      </c>
      <c r="V33" s="72">
        <v>110502</v>
      </c>
      <c r="W33" s="72">
        <v>110503</v>
      </c>
      <c r="X33" s="72">
        <v>110504</v>
      </c>
      <c r="Y33" s="72">
        <v>110505</v>
      </c>
      <c r="Z33" s="72">
        <v>110506</v>
      </c>
      <c r="AA33" s="72">
        <v>110507</v>
      </c>
      <c r="AB33" s="72">
        <v>110508</v>
      </c>
      <c r="AC33" s="72">
        <v>564001</v>
      </c>
      <c r="AD33" s="72">
        <v>110510</v>
      </c>
      <c r="AE33" s="72">
        <v>110511</v>
      </c>
      <c r="AF33" s="72">
        <v>110512</v>
      </c>
      <c r="AG33" s="72">
        <v>110513</v>
      </c>
      <c r="AH33" s="72">
        <v>110514</v>
      </c>
      <c r="AI33" s="72">
        <v>110515</v>
      </c>
      <c r="AJ33" s="72">
        <v>110516</v>
      </c>
      <c r="AK33" s="72">
        <v>110517</v>
      </c>
      <c r="AL33" s="72">
        <v>110518</v>
      </c>
    </row>
    <row r="34" spans="1:439" ht="32.1" customHeight="1">
      <c r="A34" s="164"/>
      <c r="B34" s="137" t="str">
        <f>VLOOKUP("lfm",Sprachindex!A:Z,Info!$O$6,FALSE)</f>
        <v>lfm</v>
      </c>
      <c r="C34" s="135"/>
      <c r="D34" s="136">
        <f t="shared" si="1"/>
        <v>0</v>
      </c>
      <c r="E34" s="264" t="str">
        <f>VLOOKUP("PREFA Sicherheitskehle stucco (3.000 mm lang)",Sprachindex!A:Z,Info!$O$6,FALSE)</f>
        <v>PREFA Sicherheitskehle stucco (3.000 mm lang)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38"/>
      <c r="O34" s="1"/>
      <c r="P34" s="11"/>
      <c r="Q34" s="11" t="str">
        <f>ROUNDUP(A34/3,0)*3 &amp;" " &amp; VLOOKUP("lfm",Sprachindex!A:Z,Info!$O$6,FALSE)</f>
        <v>0 lfm</v>
      </c>
      <c r="T34" s="72">
        <v>110520</v>
      </c>
      <c r="U34" s="72">
        <v>110521</v>
      </c>
      <c r="V34" s="72">
        <v>110522</v>
      </c>
      <c r="W34" s="72">
        <v>110523</v>
      </c>
      <c r="X34" s="72">
        <v>110524</v>
      </c>
      <c r="Y34" s="72">
        <v>110525</v>
      </c>
      <c r="Z34" s="72">
        <v>110526</v>
      </c>
      <c r="AA34" s="72">
        <v>110527</v>
      </c>
      <c r="AB34" s="72">
        <v>110528</v>
      </c>
      <c r="AD34" s="72">
        <v>110530</v>
      </c>
      <c r="AE34" s="72">
        <v>110531</v>
      </c>
      <c r="AF34" s="72">
        <v>110532</v>
      </c>
      <c r="AG34" s="72">
        <v>110533</v>
      </c>
      <c r="AH34" s="72">
        <v>110534</v>
      </c>
      <c r="AI34" s="72">
        <v>110535</v>
      </c>
      <c r="AJ34" s="72">
        <v>110536</v>
      </c>
      <c r="AK34" s="72">
        <v>110537</v>
      </c>
      <c r="AL34" s="72">
        <v>110538</v>
      </c>
    </row>
    <row r="35" spans="1:439" ht="32.1" customHeight="1">
      <c r="A35" s="164"/>
      <c r="B35" s="137" t="str">
        <f>VLOOKUP("lfm",Sprachindex!A:Z,Info!$O$6,FALSE)</f>
        <v>lfm</v>
      </c>
      <c r="C35" s="135"/>
      <c r="D35" s="136">
        <f t="shared" si="1"/>
        <v>0</v>
      </c>
      <c r="E35" s="264" t="str">
        <f>VLOOKUP("PREFA Grat- und Firstreiter 500 x 1,00 mm stucco
inkl. Niro Schraube 4,5x45mm und Dichscheibe",Sprachindex!A:Z,Info!$O$6,FALSE)</f>
        <v>PREFA Grat- und Firstreiter 500 x 1,00 mm stucco
inkl. Niro Schraube 4,5x45mm und Dichscheibe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38"/>
      <c r="O35" s="1"/>
      <c r="P35" s="11"/>
      <c r="Q35" s="11" t="str">
        <f>ROUNDUP(A35/1,0)*1 &amp;" " &amp; VLOOKUP("lfm",Sprachindex!A:Z,Info!$O$6,FALSE)</f>
        <v>0 lfm</v>
      </c>
      <c r="T35" s="72">
        <v>110340</v>
      </c>
      <c r="U35" s="72">
        <v>110341</v>
      </c>
      <c r="V35" s="72">
        <v>110342</v>
      </c>
      <c r="W35" s="72">
        <v>110343</v>
      </c>
      <c r="X35" s="72">
        <v>110344</v>
      </c>
      <c r="Y35" s="72">
        <v>110345</v>
      </c>
      <c r="Z35" s="72">
        <v>110346</v>
      </c>
      <c r="AA35" s="72">
        <v>110347</v>
      </c>
      <c r="AB35" s="72">
        <v>110348</v>
      </c>
      <c r="AC35" s="72">
        <v>567002</v>
      </c>
      <c r="AD35" s="72">
        <v>110350</v>
      </c>
      <c r="AE35" s="72">
        <v>110351</v>
      </c>
      <c r="AF35" s="72">
        <v>110352</v>
      </c>
      <c r="AG35" s="72">
        <v>110353</v>
      </c>
      <c r="AH35" s="72">
        <v>110354</v>
      </c>
      <c r="AI35" s="72">
        <v>110355</v>
      </c>
      <c r="AJ35" s="72">
        <v>110356</v>
      </c>
      <c r="AK35" s="72">
        <v>110357</v>
      </c>
      <c r="AL35" s="72">
        <v>110358</v>
      </c>
    </row>
    <row r="36" spans="1:439" ht="32.1" customHeight="1">
      <c r="A36" s="164"/>
      <c r="B36" s="137" t="str">
        <f>VLOOKUP("Stk",Sprachindex!A:Z,Info!$O$6,FALSE)</f>
        <v>STK</v>
      </c>
      <c r="C36" s="135"/>
      <c r="D36" s="136">
        <f t="shared" si="1"/>
        <v>0</v>
      </c>
      <c r="E36" s="264" t="str">
        <f>VLOOKUP("PREFA Grat-/Firstreiter Anfangs-/Endstück stucco",Sprachindex!A:Z,Info!$O$6,FALSE)</f>
        <v>PREFA Grat-/Firstreiter Anfangs-/Endstück stucco</v>
      </c>
      <c r="F36" s="265"/>
      <c r="G36" s="265"/>
      <c r="H36" s="265"/>
      <c r="I36" s="265"/>
      <c r="J36" s="265"/>
      <c r="K36" s="266"/>
      <c r="L36" s="137" t="str">
        <f t="shared" si="0"/>
        <v/>
      </c>
      <c r="M36" s="138"/>
      <c r="O36" s="1"/>
      <c r="P36" s="11"/>
      <c r="Q36" s="11" t="str">
        <f>ROUNDUP(A36/1,0)*1 &amp;" " &amp; VLOOKUP("Stk",Sprachindex!A:Z,Info!$O$6,FALSE)</f>
        <v>0 STK</v>
      </c>
      <c r="T36" s="72">
        <v>110320</v>
      </c>
      <c r="U36" s="72">
        <v>110321</v>
      </c>
      <c r="V36" s="72">
        <v>110322</v>
      </c>
      <c r="W36" s="72">
        <v>110323</v>
      </c>
      <c r="X36" s="72">
        <v>110324</v>
      </c>
      <c r="Y36" s="72">
        <v>110325</v>
      </c>
      <c r="Z36" s="72">
        <v>110326</v>
      </c>
      <c r="AA36" s="72">
        <v>110327</v>
      </c>
      <c r="AB36" s="72">
        <v>110328</v>
      </c>
      <c r="AC36" s="72">
        <v>517150</v>
      </c>
      <c r="AD36" s="72">
        <v>110330</v>
      </c>
      <c r="AE36" s="72">
        <v>110331</v>
      </c>
      <c r="AF36" s="72">
        <v>110332</v>
      </c>
      <c r="AG36" s="72">
        <v>110333</v>
      </c>
      <c r="AH36" s="72">
        <v>110334</v>
      </c>
      <c r="AI36" s="72">
        <v>110335</v>
      </c>
      <c r="AJ36" s="72">
        <v>110336</v>
      </c>
      <c r="AK36" s="72">
        <v>110337</v>
      </c>
      <c r="AL36" s="72">
        <v>110338</v>
      </c>
      <c r="AM36" s="72">
        <v>517170</v>
      </c>
    </row>
    <row r="37" spans="1:439" ht="32.1" customHeight="1">
      <c r="A37" s="164"/>
      <c r="B37" s="137" t="str">
        <f>VLOOKUP("lfm",Sprachindex!A:Z,Info!$O$6,FALSE)</f>
        <v>lfm</v>
      </c>
      <c r="C37" s="135"/>
      <c r="D37" s="136">
        <f t="shared" si="1"/>
        <v>0</v>
      </c>
      <c r="E37" s="264" t="str">
        <f>VLOOKUP("PREFA Jet-Lüfter stucco (1.200mm) inkl. Niro Schr. u.Dichtsch.",Sprachindex!A:Z,Info!$O$6,FALSE)</f>
        <v>PREFA Jet-Lüfter stucco (1.200mm) inkl. Niro Schr. u.Dichtsch.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38"/>
      <c r="O37" s="1"/>
      <c r="P37" s="11"/>
      <c r="Q37" s="11" t="str">
        <f>ROUNDUP(A37/1.2,0)*1.2 &amp;" " &amp; VLOOKUP("lfm",Sprachindex!A:Z,Info!$O$6,FALSE)</f>
        <v>0 lfm</v>
      </c>
      <c r="T37" s="72">
        <v>110640</v>
      </c>
      <c r="U37" s="72">
        <v>110641</v>
      </c>
      <c r="V37" s="72">
        <v>110642</v>
      </c>
      <c r="W37" s="72">
        <v>110643</v>
      </c>
      <c r="X37" s="72">
        <v>110644</v>
      </c>
      <c r="Y37" s="72">
        <v>110645</v>
      </c>
      <c r="Z37" s="72">
        <v>110646</v>
      </c>
      <c r="AA37" s="72">
        <v>110647</v>
      </c>
      <c r="AB37" s="72">
        <v>110648</v>
      </c>
      <c r="AC37" s="72">
        <v>570160</v>
      </c>
      <c r="AD37" s="72">
        <v>110650</v>
      </c>
      <c r="AE37" s="72">
        <v>110651</v>
      </c>
      <c r="AF37" s="72">
        <v>110652</v>
      </c>
      <c r="AG37" s="72">
        <v>110653</v>
      </c>
      <c r="AH37" s="72">
        <v>110654</v>
      </c>
      <c r="AI37" s="72">
        <v>110655</v>
      </c>
      <c r="AJ37" s="72">
        <v>110656</v>
      </c>
      <c r="AK37" s="72">
        <v>110657</v>
      </c>
      <c r="AL37" s="72">
        <v>110658</v>
      </c>
      <c r="AM37" s="72">
        <v>570140</v>
      </c>
    </row>
    <row r="38" spans="1:439" ht="32.1" customHeight="1">
      <c r="A38" s="164"/>
      <c r="B38" s="137" t="str">
        <f>VLOOKUP("lfm",Sprachindex!A:Z,Info!$O$6,FALSE)</f>
        <v>lfm</v>
      </c>
      <c r="C38" s="135"/>
      <c r="D38" s="136">
        <f t="shared" si="1"/>
        <v>0</v>
      </c>
      <c r="E38" s="264" t="str">
        <f>VLOOKUP("PREFA Jet-Lüfter stucco (3.000mm) inkl. Niro Schr. u.Dichtsch.",Sprachindex!A:Z,Info!$O$6,FALSE)</f>
        <v>PREFA Jet-Lüfter stucco (3.000mm) inkl. Niro Schr. u.Dichtsch.</v>
      </c>
      <c r="F38" s="265"/>
      <c r="G38" s="265"/>
      <c r="H38" s="265"/>
      <c r="I38" s="265"/>
      <c r="J38" s="265"/>
      <c r="K38" s="266"/>
      <c r="L38" s="137" t="str">
        <f t="shared" si="0"/>
        <v/>
      </c>
      <c r="M38" s="138"/>
      <c r="O38" s="1"/>
      <c r="P38" s="11"/>
      <c r="Q38" s="11" t="str">
        <f>ROUNDUP(A38/3,0)*3 &amp;" " &amp; VLOOKUP("lfm",Sprachindex!A:Z,Info!$O$6,FALSE)</f>
        <v>0 lfm</v>
      </c>
      <c r="T38" s="72">
        <v>110620</v>
      </c>
      <c r="U38" s="72">
        <v>110621</v>
      </c>
      <c r="V38" s="72">
        <v>110622</v>
      </c>
      <c r="W38" s="72">
        <v>110623</v>
      </c>
      <c r="X38" s="72">
        <v>110624</v>
      </c>
      <c r="Y38" s="72">
        <v>110625</v>
      </c>
      <c r="Z38" s="72">
        <v>110626</v>
      </c>
      <c r="AA38" s="72">
        <v>110627</v>
      </c>
      <c r="AB38" s="72">
        <v>110628</v>
      </c>
      <c r="AC38" s="72">
        <v>570040</v>
      </c>
      <c r="AD38" s="72">
        <v>110630</v>
      </c>
      <c r="AE38" s="72">
        <v>110631</v>
      </c>
      <c r="AF38" s="72">
        <v>110632</v>
      </c>
      <c r="AG38" s="72">
        <v>110633</v>
      </c>
      <c r="AH38" s="72">
        <v>110634</v>
      </c>
      <c r="AI38" s="72">
        <v>110635</v>
      </c>
      <c r="AJ38" s="72">
        <v>110636</v>
      </c>
      <c r="AK38" s="72">
        <v>110637</v>
      </c>
      <c r="AL38" s="72">
        <v>110638</v>
      </c>
      <c r="AM38" s="72">
        <v>570060</v>
      </c>
    </row>
    <row r="39" spans="1:439" ht="32.1" customHeight="1">
      <c r="A39" s="164"/>
      <c r="B39" s="137" t="str">
        <f>VLOOKUP("Stk",Sprachindex!A:Z,Info!$O$6,FALSE)</f>
        <v>STK</v>
      </c>
      <c r="C39" s="135"/>
      <c r="D39" s="136">
        <f t="shared" si="1"/>
        <v>0</v>
      </c>
      <c r="E39" s="264" t="str">
        <f>VLOOKUP("PREFA Jet-Lüfter-Endstück stucco",Sprachindex!A:Z,Info!$O$6,FALSE)</f>
        <v>PREFA Jet-Lüfter-Endstück stucco</v>
      </c>
      <c r="F39" s="265"/>
      <c r="G39" s="265"/>
      <c r="H39" s="265"/>
      <c r="I39" s="265"/>
      <c r="J39" s="265"/>
      <c r="K39" s="266"/>
      <c r="L39" s="137" t="str">
        <f t="shared" si="0"/>
        <v/>
      </c>
      <c r="M39" s="138"/>
      <c r="O39" s="1"/>
      <c r="P39" s="11"/>
      <c r="Q39" s="11" t="str">
        <f>ROUNDUP(A39/1,0)*1 &amp;" " &amp; VLOOKUP("Stk",Sprachindex!A:Z,Info!$O$6,FALSE)</f>
        <v>0 STK</v>
      </c>
      <c r="T39" s="72">
        <v>110600</v>
      </c>
      <c r="U39" s="72">
        <v>110601</v>
      </c>
      <c r="V39" s="72">
        <v>110602</v>
      </c>
      <c r="W39" s="72">
        <v>110603</v>
      </c>
      <c r="X39" s="72">
        <v>110604</v>
      </c>
      <c r="Y39" s="72">
        <v>110605</v>
      </c>
      <c r="Z39" s="72">
        <v>110606</v>
      </c>
      <c r="AA39" s="72">
        <v>110607</v>
      </c>
      <c r="AB39" s="72">
        <v>110608</v>
      </c>
      <c r="AC39" s="72">
        <v>510030</v>
      </c>
      <c r="AD39" s="72">
        <v>110610</v>
      </c>
      <c r="AE39" s="72">
        <v>110611</v>
      </c>
      <c r="AF39" s="72">
        <v>110612</v>
      </c>
      <c r="AG39" s="72">
        <v>110613</v>
      </c>
      <c r="AH39" s="72">
        <v>110614</v>
      </c>
      <c r="AI39" s="72">
        <v>110615</v>
      </c>
      <c r="AJ39" s="72">
        <v>110616</v>
      </c>
      <c r="AK39" s="72">
        <v>110617</v>
      </c>
      <c r="AL39" s="72">
        <v>110618</v>
      </c>
      <c r="AM39" s="72">
        <v>510060</v>
      </c>
    </row>
    <row r="40" spans="1:439" ht="32.1" customHeight="1">
      <c r="A40" s="164"/>
      <c r="B40" s="137" t="str">
        <f>VLOOKUP("Stk",Sprachindex!A:Z,Info!$O$6,FALSE)</f>
        <v>STK</v>
      </c>
      <c r="C40" s="135"/>
      <c r="D40" s="136">
        <f>IF(H40=Formeln!A15,IF($N$20=1,T40,IF($N$20=4,U40,IF($N$20=5,V40,IF($N$20=11,W40,IF($N$20=7,X40,IF($N$20=3,Y40,IF($N$20=6,Z40,IF($N$20=9,AA40,IF($N$20=2,AB40,IF($N$20=8,AC40,0)))))))))),IF(H40=Formeln!A16,AC40,0))</f>
        <v>0</v>
      </c>
      <c r="E40" s="264" t="str">
        <f>VLOOKUP("Niro-Schraube mit Dichtscheibe für Grat-/Firstreiter",Sprachindex!A:Z,Info!$O$6,FALSE)</f>
        <v>Niro-Schraube mit Dichtscheibe für Grat-/Firstreiter</v>
      </c>
      <c r="F40" s="265"/>
      <c r="G40" s="265"/>
      <c r="H40" s="269"/>
      <c r="I40" s="270"/>
      <c r="J40" s="270"/>
      <c r="K40" s="271"/>
      <c r="L40" s="137" t="str">
        <f t="shared" si="0"/>
        <v/>
      </c>
      <c r="M40" s="138"/>
      <c r="O40" s="1"/>
      <c r="P40" s="11"/>
      <c r="Q40" s="11" t="str">
        <f>ROUNDUP(A40/250,0)*250 &amp;" " &amp; VLOOKUP("Stk",Sprachindex!A:Z,Info!$O$6,FALSE)</f>
        <v>0 STK</v>
      </c>
      <c r="T40" s="72">
        <v>340001</v>
      </c>
      <c r="U40" s="72">
        <v>340004</v>
      </c>
      <c r="V40" s="72">
        <v>340003</v>
      </c>
      <c r="W40" s="72">
        <v>340104</v>
      </c>
      <c r="Y40" s="72">
        <v>340002</v>
      </c>
      <c r="Z40" s="72">
        <v>340016</v>
      </c>
      <c r="AA40" s="72">
        <v>340011</v>
      </c>
      <c r="AC40" s="72">
        <v>340103</v>
      </c>
    </row>
    <row r="41" spans="1:439" ht="32.1" customHeight="1">
      <c r="A41" s="164"/>
      <c r="B41" s="137" t="str">
        <f>VLOOKUP("Stk",Sprachindex!A:Z,Info!$O$6,FALSE)</f>
        <v>STK</v>
      </c>
      <c r="C41" s="135"/>
      <c r="D41" s="136">
        <f>IF(H41=Formeln!A18,IF($N$20=1,T41,IF($N$20=4,U41,IF($N$20=5,V41,IF($N$20=11,W41,IF($N$20=7,X41,IF($N$20=3,Y41,IF($N$20=6,Z41,IF($N$20=9,AA41,IF($N$20=2,AB41,IF($N$20=8,AC41,0)))))))))),IF(H41=Formeln!A19,AC41,0))</f>
        <v>0</v>
      </c>
      <c r="E41" s="264" t="str">
        <f>VLOOKUP("Niro-Schraube mit Dichtscheibe für Jet-Lüfter",Sprachindex!A:Z,Info!$O$6,FALSE)</f>
        <v>Niro-Schraube mit Dichtscheibe für Jet-Lüfter</v>
      </c>
      <c r="F41" s="265"/>
      <c r="G41" s="265"/>
      <c r="H41" s="269"/>
      <c r="I41" s="270"/>
      <c r="J41" s="270"/>
      <c r="K41" s="271"/>
      <c r="L41" s="137" t="str">
        <f t="shared" si="0"/>
        <v/>
      </c>
      <c r="M41" s="138"/>
      <c r="O41" s="1"/>
      <c r="P41" s="11"/>
      <c r="Q41" s="11" t="str">
        <f>ROUNDUP(A41/100,0)*100 &amp;" " &amp; VLOOKUP("Stk",Sprachindex!A:Z,Info!$O$6,FALSE)</f>
        <v>0 STK</v>
      </c>
      <c r="T41" s="72">
        <v>340020</v>
      </c>
      <c r="U41" s="72">
        <v>340024</v>
      </c>
      <c r="V41" s="72">
        <v>340022</v>
      </c>
      <c r="W41" s="72">
        <v>340021</v>
      </c>
      <c r="Y41" s="72">
        <v>340025</v>
      </c>
      <c r="Z41" s="72">
        <v>340032</v>
      </c>
      <c r="AA41" s="72">
        <v>340027</v>
      </c>
      <c r="AC41" s="72">
        <v>340106</v>
      </c>
    </row>
    <row r="42" spans="1:439" ht="32.1" customHeight="1">
      <c r="A42" s="164"/>
      <c r="B42" s="137" t="str">
        <f>VLOOKUP("Stk",Sprachindex!A:Z,Info!$O$6,FALSE)</f>
        <v>STK</v>
      </c>
      <c r="C42" s="135"/>
      <c r="D42" s="136">
        <f>IF($N$20=1,T42,IF($N$20=4,U42,IF($N$20=5,V42,IF($N$20=11,W42,IF($N$20=7,X42,IF($N$20=3,Y42,IF($N$20=6,Z42,IF($N$20=9,AA42,IF($N$20=2,AB42,IF($N$20=8,AC42,0))))))))))</f>
        <v>0</v>
      </c>
      <c r="E42" s="264" t="str">
        <f>VLOOKUP("PREFA Froschmaulluken-Haube zum aufnieten glatt
Lüftungsquerschnitt ca. 30 cm²",Sprachindex!A:Z,Info!$O$6,FALSE)</f>
        <v>PREFA Froschmaulluken-Haube zum aufnieten glatt
Lüftungsquerschnitt ca. 30 cm²</v>
      </c>
      <c r="F42" s="265"/>
      <c r="G42" s="265"/>
      <c r="H42" s="265"/>
      <c r="I42" s="265"/>
      <c r="J42" s="265"/>
      <c r="K42" s="266"/>
      <c r="L42" s="137" t="str">
        <f t="shared" si="0"/>
        <v/>
      </c>
      <c r="M42" s="138"/>
      <c r="O42" s="1"/>
      <c r="P42" s="11"/>
      <c r="Q42" s="11" t="str">
        <f>ROUNDUP(A42/1,0)*1 &amp;" " &amp; VLOOKUP("Stk",Sprachindex!A:Z,Info!$O$6,FALSE)</f>
        <v>0 STK</v>
      </c>
      <c r="T42" s="72">
        <v>110100</v>
      </c>
      <c r="U42" s="72">
        <v>110101</v>
      </c>
      <c r="V42" s="72">
        <v>110102</v>
      </c>
      <c r="W42" s="72">
        <v>110103</v>
      </c>
      <c r="X42" s="72">
        <v>110104</v>
      </c>
      <c r="Y42" s="72">
        <v>110105</v>
      </c>
      <c r="Z42" s="72">
        <v>110106</v>
      </c>
      <c r="AA42" s="72">
        <v>110107</v>
      </c>
      <c r="AB42" s="72">
        <v>110108</v>
      </c>
      <c r="AC42" s="72">
        <v>512014</v>
      </c>
    </row>
    <row r="43" spans="1:439" ht="32.1" customHeight="1">
      <c r="A43" s="164"/>
      <c r="B43" s="137" t="str">
        <f>VLOOKUP("Stk",Sprachindex!A:Z,Info!$O$6,FALSE)</f>
        <v>STK</v>
      </c>
      <c r="C43" s="135"/>
      <c r="D43" s="136">
        <f t="shared" ref="D43" si="2">IF(AND($N$8=2,$N$20=1),T43,IF(AND($N$8=2,$N$20=4),U43,IF(AND($N$8=2,$N$20=5),V43,IF(AND($N$8=2,$N$20=11),W43,IF(AND($N$8=2,$N$20=7),X43,IF(AND($N$8=2,$N$20=3),Y43,IF(AND($N$8=2,$N$20=6),Z43,IF(AND($N$8=2,$N$20=9),AA43,IF(AND($N$8=2,$N$20=2),AB43,IF(AND($N$8=2,$N$20=8),AC43,IF(AND($N$8=1,$N$20=1),AD43,IF(AND($N$8=1,$N$20=1),AD43,IF(AND($N$8=1,$N$20=4),AE43,IF(AND($N$8=1,$N$20=5),AF43,IF(AND($N$8=1,$N$20=11),AG43,IF(AND($N$8=1,$N$20=7),AH43,IF(AND($N$8=1,$N$20=3),AI43,IF(AND($N$8=1,$N$20=6),AJ43,IF(AND($N$8=1,$N$20=9),AK43,IF(AND($N$8=1,$N$20=2),AL43,IF(AND($N$8=1,$N$20=8),AM43,0)))))))))))))))))))))</f>
        <v>0</v>
      </c>
      <c r="E43" s="264" t="str">
        <f>VLOOKUP("PREFA Froschmaulluke stucco für Dachschindel 420 x 240 mm
Lüftungsquerschnitt ca. 30 cm²",Sprachindex!A:Z,Info!$O$6,FALSE)</f>
        <v>PREFA Froschmaulluke stucco für Dachschindel 420 x 240 mm
Lüftungsquerschnitt ca. 30 cm²</v>
      </c>
      <c r="F43" s="265"/>
      <c r="G43" s="265"/>
      <c r="H43" s="265"/>
      <c r="I43" s="265"/>
      <c r="J43" s="265"/>
      <c r="K43" s="266"/>
      <c r="L43" s="137" t="str">
        <f t="shared" si="0"/>
        <v/>
      </c>
      <c r="M43" s="138"/>
      <c r="O43" s="1"/>
      <c r="P43" s="11"/>
      <c r="Q43" s="11" t="str">
        <f>ROUNDUP(A43/1,0)*1 &amp;" " &amp; VLOOKUP("Stk",Sprachindex!A:Z,Info!$O$6,FALSE)</f>
        <v>0 STK</v>
      </c>
      <c r="T43" s="72">
        <v>110130</v>
      </c>
      <c r="U43" s="72">
        <v>110131</v>
      </c>
      <c r="V43" s="72">
        <v>110132</v>
      </c>
      <c r="W43" s="72">
        <v>110133</v>
      </c>
      <c r="X43" s="72">
        <v>110134</v>
      </c>
      <c r="Y43" s="72">
        <v>110135</v>
      </c>
      <c r="Z43" s="72">
        <v>110136</v>
      </c>
      <c r="AA43" s="72">
        <v>110137</v>
      </c>
      <c r="AB43" s="72">
        <v>110138</v>
      </c>
      <c r="AD43" s="72">
        <v>110140</v>
      </c>
      <c r="AE43" s="72">
        <v>110141</v>
      </c>
      <c r="AF43" s="72">
        <v>110142</v>
      </c>
      <c r="AG43" s="72">
        <v>110143</v>
      </c>
      <c r="AH43" s="72">
        <v>110144</v>
      </c>
      <c r="AI43" s="72">
        <v>110145</v>
      </c>
      <c r="AJ43" s="72">
        <v>110146</v>
      </c>
      <c r="AK43" s="72">
        <v>110147</v>
      </c>
      <c r="AL43" s="72">
        <v>110148</v>
      </c>
    </row>
    <row r="44" spans="1:439" ht="32.1" customHeight="1">
      <c r="A44" s="164"/>
      <c r="B44" s="137" t="str">
        <f>VLOOKUP("Stk",Sprachindex!A:Z,Info!$O$6,FALSE)</f>
        <v>STK</v>
      </c>
      <c r="C44" s="135"/>
      <c r="D44" s="142">
        <v>537730</v>
      </c>
      <c r="E44" s="264" t="str">
        <f>VLOOKUP("PREFA Dachluke (600x600 mm) komplett mit Holzrahmen",Sprachindex!A:Z,Info!$O$6,FALSE)</f>
        <v>PREFA Dachluke (600x600 mm) komplett mit Holzrahmen</v>
      </c>
      <c r="F44" s="265"/>
      <c r="G44" s="265"/>
      <c r="H44" s="265"/>
      <c r="I44" s="143"/>
      <c r="J44" s="143"/>
      <c r="K44" s="144"/>
      <c r="L44" s="137" t="str">
        <f t="shared" si="0"/>
        <v/>
      </c>
      <c r="M44" s="138"/>
      <c r="O44" s="1"/>
      <c r="P44" s="11"/>
      <c r="Q44" s="11" t="str">
        <f>ROUNDUP(A44/1,0)*1 &amp;" " &amp; VLOOKUP("Stk",Sprachindex!A:Z,Info!$O$6,FALSE)</f>
        <v>0 STK</v>
      </c>
      <c r="T44" s="75" t="s">
        <v>1554</v>
      </c>
      <c r="U44" s="75" t="s">
        <v>1555</v>
      </c>
      <c r="V44" s="75" t="s">
        <v>1556</v>
      </c>
      <c r="W44" s="75" t="s">
        <v>1557</v>
      </c>
      <c r="X44" s="75" t="s">
        <v>1558</v>
      </c>
      <c r="Y44" s="75" t="s">
        <v>1559</v>
      </c>
      <c r="Z44" s="75" t="s">
        <v>1560</v>
      </c>
      <c r="AA44" s="75" t="s">
        <v>1561</v>
      </c>
      <c r="AB44" s="75" t="s">
        <v>1562</v>
      </c>
      <c r="AC44" s="75" t="s">
        <v>1563</v>
      </c>
      <c r="AD44" s="75" t="s">
        <v>1554</v>
      </c>
      <c r="AE44" s="75" t="s">
        <v>1555</v>
      </c>
      <c r="AF44" s="75" t="s">
        <v>1556</v>
      </c>
      <c r="AG44" s="75" t="s">
        <v>1557</v>
      </c>
      <c r="AH44" s="75" t="s">
        <v>1558</v>
      </c>
      <c r="AI44" s="75" t="s">
        <v>1559</v>
      </c>
      <c r="AJ44" s="75" t="s">
        <v>1560</v>
      </c>
      <c r="AK44" s="75" t="s">
        <v>1561</v>
      </c>
      <c r="AL44" s="75" t="s">
        <v>1562</v>
      </c>
      <c r="AM44" s="75" t="s">
        <v>1563</v>
      </c>
    </row>
    <row r="45" spans="1:439" ht="32.1" customHeight="1">
      <c r="A45" s="164"/>
      <c r="B45" s="137" t="str">
        <f>VLOOKUP("Stk",Sprachindex!A:Z,Info!$O$6,FALSE)</f>
        <v>STK</v>
      </c>
      <c r="C45" s="135"/>
      <c r="D45" s="136">
        <f>IF(J45=Formeln!A28,AM45,IF(J45=Formeln!A29,BG45,IF(J45=Formeln!A30,CA45,IF(J45=Formeln!A31,CU45,IF(J45=Formeln!A32,DO45,IF(J45=Formeln!A33,EI45,IF(J45=Formeln!A34,FC45,IF(J45=Formeln!A35,FW45,IF(J45=Formeln!A36,GQ45,IF(J45=Formeln!A37,HK45,IF(J45=Formeln!A38,IE45,IF(J45=Formeln!A39,IY45,IF(J45=Formeln!A40,JS45,IF(J45=Formeln!A41,KM45,IF(J45=Formeln!A45,LG45,IF(J45=Formeln!A43,MA45,IF(J45=Formeln!A44,MU45,IF(J45=Formeln!A45,NO45,IF(J45=Formeln!A45,OI45,IF(J45=Formeln!A47,PC45,IF(J45=Formeln!A48,PW45,0)))))))))))))))))))))</f>
        <v>0</v>
      </c>
      <c r="E45" s="264" t="str">
        <f>VLOOKUP("PREFA Einfassung für Velux-Dachflächenfenster stucco",Sprachindex!A:Z,Info!$O$6,FALSE)</f>
        <v>PREFA Einfassung für Velux-Dachflächenfenster stucco</v>
      </c>
      <c r="F45" s="265"/>
      <c r="G45" s="265"/>
      <c r="H45" s="265"/>
      <c r="I45" s="145" t="str">
        <f>VLOOKUP("Maße:",Sprachindex!A:Z,Info!$O$6,FALSE)</f>
        <v>Maße:</v>
      </c>
      <c r="J45" s="269"/>
      <c r="K45" s="270"/>
      <c r="L45" s="137" t="str">
        <f t="shared" si="0"/>
        <v/>
      </c>
      <c r="M45" s="138"/>
      <c r="O45" s="1"/>
      <c r="P45" s="11"/>
      <c r="Q45" s="11" t="str">
        <f>ROUNDUP(A45/1,0)*1 &amp;" " &amp; VLOOKUP("Stk",Sprachindex!A:Z,Info!$O$6,FALSE)</f>
        <v>0 STK</v>
      </c>
      <c r="T45" s="72">
        <v>111110</v>
      </c>
      <c r="U45" s="76">
        <v>111111</v>
      </c>
      <c r="V45" s="76">
        <v>111112</v>
      </c>
      <c r="W45" s="76">
        <v>111113</v>
      </c>
      <c r="X45" s="76">
        <v>111114</v>
      </c>
      <c r="Y45" s="76">
        <v>111115</v>
      </c>
      <c r="Z45" s="76">
        <v>111116</v>
      </c>
      <c r="AA45" s="76">
        <v>111117</v>
      </c>
      <c r="AB45" s="76">
        <v>111118</v>
      </c>
      <c r="AD45" s="76">
        <v>111100</v>
      </c>
      <c r="AE45" s="76">
        <v>111101</v>
      </c>
      <c r="AF45" s="76">
        <v>111102</v>
      </c>
      <c r="AG45" s="76">
        <v>111103</v>
      </c>
      <c r="AH45" s="76">
        <v>111104</v>
      </c>
      <c r="AI45" s="76">
        <v>111105</v>
      </c>
      <c r="AJ45" s="76">
        <v>111106</v>
      </c>
      <c r="AK45" s="76">
        <v>111107</v>
      </c>
      <c r="AL45" s="76">
        <v>111108</v>
      </c>
      <c r="AM45" s="78">
        <f>IF(AND($N$8=2,$N$20=1),T45,IF(AND($N$8=2,$N$20=4),U45,IF(AND($N$8=2,$N$20=5),V45,IF(AND($N$8=2,$N$20=11),W45,IF(AND($N$8=2,$N$20=7),X45,IF(AND($N$8=2,$N$20=3),Y45,IF(AND($N$8=2,$N$20=6),Z45,IF(AND($N$8=2,$N$20=9),AA45,IF(AND($N$8=2,$N$20=2),AB45,IF(AND($N$8=2,$N$20=8),AC45,IF(AND($N$8=1,$N$20=1),AD45,IF(AND($N$8=1,$N$20=1),AD45,IF(AND($N$8=1,$N$20=4),AE45,IF(AND($N$8=1,$N$20=5),AF45,IF(AND($N$8=1,$N$20=11),AG45,IF(AND($N$8=1,$N$20=7),AH45,IF(AND($N$8=1,$N$20=3),AI45,IF(AND($N$8=1,$N$20=6),AJ45,IF(AND($N$8=1,$N$20=9),AK45,IF(AND($N$8=1,$N$20=2),AL45,0))))))))))))))))))))</f>
        <v>0</v>
      </c>
      <c r="AN45" s="77">
        <v>111110</v>
      </c>
      <c r="AO45" s="76">
        <v>111111</v>
      </c>
      <c r="AP45" s="76">
        <v>111112</v>
      </c>
      <c r="AQ45" s="76">
        <v>111113</v>
      </c>
      <c r="AR45" s="76">
        <v>111114</v>
      </c>
      <c r="AS45" s="76">
        <v>111115</v>
      </c>
      <c r="AT45" s="76">
        <v>111116</v>
      </c>
      <c r="AU45" s="76">
        <v>111117</v>
      </c>
      <c r="AV45" s="76">
        <v>111118</v>
      </c>
      <c r="AX45" s="76">
        <v>111100</v>
      </c>
      <c r="AY45" s="76">
        <v>111101</v>
      </c>
      <c r="AZ45" s="76">
        <v>111102</v>
      </c>
      <c r="BA45" s="76">
        <v>111103</v>
      </c>
      <c r="BB45" s="76">
        <v>111104</v>
      </c>
      <c r="BC45" s="76">
        <v>111105</v>
      </c>
      <c r="BD45" s="76">
        <v>111106</v>
      </c>
      <c r="BE45" s="76">
        <v>111107</v>
      </c>
      <c r="BF45" s="76">
        <v>111108</v>
      </c>
      <c r="BG45" s="78">
        <f>IF(AND($N$8=2,$N$20=1),AN45,IF(AND($N$8=2,$N$20=4),AO45,IF(AND($N$8=2,$N$20=5),AP45,IF(AND($N$8=2,$N$20=11),AQ45,IF(AND($N$8=2,$N$20=7),AR45,IF(AND($N$8=2,$N$20=3),AS45,IF(AND($N$8=2,$N$20=6),AT45,IF(AND($N$8=2,$N$20=9),AU45,IF(AND($N$8=2,$N$20=2),AV45,IF(AND($N$8=2,$N$20=8),AW45,IF(AND($N$8=1,$N$20=1),AX45,IF(AND($N$8=1,$N$20=1),AX45,IF(AND($N$8=1,$N$20=4),AY45,IF(AND($N$8=1,$N$20=5),AZ45,IF(AND($N$8=1,$N$20=11),BA45,IF(AND($N$8=1,$N$20=7),BB45,IF(AND($N$8=1,$N$20=3),BC45,IF(AND($N$8=1,$N$20=6),BD45,IF(AND($N$8=1,$N$20=9),BE45,IF(AND($N$8=1,$N$20=2),BF45,0))))))))))))))))))))</f>
        <v>0</v>
      </c>
      <c r="BH45" s="77">
        <v>111110</v>
      </c>
      <c r="BI45" s="76">
        <v>111111</v>
      </c>
      <c r="BJ45" s="76">
        <v>111112</v>
      </c>
      <c r="BK45" s="76">
        <v>111113</v>
      </c>
      <c r="BL45" s="76">
        <v>111114</v>
      </c>
      <c r="BM45" s="76">
        <v>111115</v>
      </c>
      <c r="BN45" s="76">
        <v>111116</v>
      </c>
      <c r="BO45" s="76">
        <v>111117</v>
      </c>
      <c r="BP45" s="76">
        <v>111118</v>
      </c>
      <c r="BR45" s="76">
        <v>111100</v>
      </c>
      <c r="BS45" s="76">
        <v>111101</v>
      </c>
      <c r="BT45" s="76">
        <v>111102</v>
      </c>
      <c r="BU45" s="76">
        <v>111103</v>
      </c>
      <c r="BV45" s="76">
        <v>111104</v>
      </c>
      <c r="BW45" s="76">
        <v>111105</v>
      </c>
      <c r="BX45" s="76">
        <v>111106</v>
      </c>
      <c r="BY45" s="76">
        <v>111107</v>
      </c>
      <c r="BZ45" s="76">
        <v>111108</v>
      </c>
      <c r="CA45" s="78">
        <f>IF(AND($N$8=2,$N$20=1),BH45,IF(AND($N$8=2,$N$20=4),BI45,IF(AND($N$8=2,$N$20=5),BJ45,IF(AND($N$8=2,$N$20=11),BK45,IF(AND($N$8=2,$N$20=7),BL45,IF(AND($N$8=2,$N$20=3),BM45,IF(AND($N$8=2,$N$20=6),BN45,IF(AND($N$8=2,$N$20=9),BO45,IF(AND($N$8=2,$N$20=2),BP45,IF(AND($N$8=2,$N$20=8),BQ45,IF(AND($N$8=1,$N$20=1),BR45,IF(AND($N$8=1,$N$20=1),BR45,IF(AND($N$8=1,$N$20=4),BS45,IF(AND($N$8=1,$N$20=5),BT45,IF(AND($N$8=1,$N$20=11),BU45,IF(AND($N$8=1,$N$20=7),BV45,IF(AND($N$8=1,$N$20=3),BW45,IF(AND($N$8=1,$N$20=6),BX45,IF(AND($N$8=1,$N$20=9),BY45,IF(AND($N$8=1,$N$20=2),BZ45,0))))))))))))))))))))</f>
        <v>0</v>
      </c>
      <c r="CB45" s="77">
        <v>111130</v>
      </c>
      <c r="CC45" s="72">
        <v>111131</v>
      </c>
      <c r="CD45" s="72">
        <v>111132</v>
      </c>
      <c r="CE45" s="72">
        <v>111133</v>
      </c>
      <c r="CF45" s="72">
        <v>111134</v>
      </c>
      <c r="CG45" s="72">
        <v>111135</v>
      </c>
      <c r="CH45" s="72">
        <v>111136</v>
      </c>
      <c r="CI45" s="72">
        <v>111137</v>
      </c>
      <c r="CJ45" s="72">
        <v>111138</v>
      </c>
      <c r="CL45" s="72">
        <v>111120</v>
      </c>
      <c r="CM45" s="72">
        <v>111121</v>
      </c>
      <c r="CN45" s="72">
        <v>111122</v>
      </c>
      <c r="CO45" s="72">
        <v>111123</v>
      </c>
      <c r="CP45" s="72">
        <v>111124</v>
      </c>
      <c r="CQ45" s="72">
        <v>111125</v>
      </c>
      <c r="CR45" s="72">
        <v>111126</v>
      </c>
      <c r="CS45" s="72">
        <v>111127</v>
      </c>
      <c r="CT45" s="72">
        <v>111128</v>
      </c>
      <c r="CU45" s="78">
        <f>IF(AND($N$8=2,$N$20=1),CB45,IF(AND($N$8=2,$N$20=4),CC45,IF(AND($N$8=2,$N$20=5),CD45,IF(AND($N$8=2,$N$20=11),CE45,IF(AND($N$8=2,$N$20=7),CF45,IF(AND($N$8=2,$N$20=3),CG45,IF(AND($N$8=2,$N$20=6),CH45,IF(AND($N$8=2,$N$20=9),CI45,IF(AND($N$8=2,$N$20=2),CJ45,IF(AND($N$8=2,$N$20=8),CK45,IF(AND($N$8=1,$N$20=1),CL45,IF(AND($N$8=1,$N$20=1),CL45,IF(AND($N$8=1,$N$20=4),CM45,IF(AND($N$8=1,$N$20=5),CN45,IF(AND($N$8=1,$N$20=11),CO45,IF(AND($N$8=1,$N$20=7),CP45,IF(AND($N$8=1,$N$20=3),CQ45,IF(AND($N$8=1,$N$20=6),CR45,IF(AND($N$8=1,$N$20=9),CS45,IF(AND($N$8=1,$N$20=2),CT45,0))))))))))))))))))))</f>
        <v>0</v>
      </c>
      <c r="CV45" s="77">
        <v>111130</v>
      </c>
      <c r="CW45" s="72">
        <v>111131</v>
      </c>
      <c r="CX45" s="72">
        <v>111132</v>
      </c>
      <c r="CY45" s="72">
        <v>111133</v>
      </c>
      <c r="CZ45" s="72">
        <v>111134</v>
      </c>
      <c r="DA45" s="72">
        <v>111135</v>
      </c>
      <c r="DB45" s="72">
        <v>111136</v>
      </c>
      <c r="DC45" s="72">
        <v>111137</v>
      </c>
      <c r="DD45" s="72">
        <v>111138</v>
      </c>
      <c r="DF45" s="72">
        <v>111120</v>
      </c>
      <c r="DG45" s="72">
        <v>111121</v>
      </c>
      <c r="DH45" s="72">
        <v>111122</v>
      </c>
      <c r="DI45" s="72">
        <v>111123</v>
      </c>
      <c r="DJ45" s="72">
        <v>111124</v>
      </c>
      <c r="DK45" s="72">
        <v>111125</v>
      </c>
      <c r="DL45" s="72">
        <v>111126</v>
      </c>
      <c r="DM45" s="72">
        <v>111127</v>
      </c>
      <c r="DN45" s="72">
        <v>111128</v>
      </c>
      <c r="DO45" s="78">
        <f>IF(AND($N$8=2,$N$20=1),CV45,IF(AND($N$8=2,$N$20=4),CW45,IF(AND($N$8=2,$N$20=5),CX45,IF(AND($N$8=2,$N$20=11),CY45,IF(AND($N$8=2,$N$20=7),CZ45,IF(AND($N$8=2,$N$20=3),DA45,IF(AND($N$8=2,$N$20=6),DB45,IF(AND($N$8=2,$N$20=9),DC45,IF(AND($N$8=2,$N$20=2),DD45,IF(AND($N$8=2,$N$20=8),DE45,IF(AND($N$8=1,$N$20=1),DF45,IF(AND($N$8=1,$N$20=1),DF45,IF(AND($N$8=1,$N$20=4),DG45,IF(AND($N$8=1,$N$20=5),DH45,IF(AND($N$8=1,$N$20=11),DI45,IF(AND($N$8=1,$N$20=7),DJ45,IF(AND($N$8=1,$N$20=3),DK45,IF(AND($N$8=1,$N$20=6),DL45,IF(AND($N$8=1,$N$20=9),DM45,IF(AND($N$8=1,$N$20=2),DN45,0))))))))))))))))))))</f>
        <v>0</v>
      </c>
      <c r="DP45" s="77">
        <v>111270</v>
      </c>
      <c r="DQ45" s="72">
        <v>111271</v>
      </c>
      <c r="DR45" s="72">
        <v>111272</v>
      </c>
      <c r="DS45" s="72">
        <v>111273</v>
      </c>
      <c r="DT45" s="72">
        <v>111274</v>
      </c>
      <c r="DU45" s="72">
        <v>111275</v>
      </c>
      <c r="DV45" s="72">
        <v>111276</v>
      </c>
      <c r="DW45" s="72">
        <v>111277</v>
      </c>
      <c r="DX45" s="72">
        <v>111278</v>
      </c>
      <c r="DZ45" s="72">
        <v>111260</v>
      </c>
      <c r="EA45" s="72">
        <v>111261</v>
      </c>
      <c r="EB45" s="72">
        <v>111262</v>
      </c>
      <c r="EC45" s="72">
        <v>111263</v>
      </c>
      <c r="ED45" s="72">
        <v>111264</v>
      </c>
      <c r="EE45" s="72">
        <v>111265</v>
      </c>
      <c r="EF45" s="72">
        <v>111266</v>
      </c>
      <c r="EG45" s="72">
        <v>111267</v>
      </c>
      <c r="EH45" s="72">
        <v>111268</v>
      </c>
      <c r="EI45" s="78">
        <f>IF(AND($N$8=2,$N$20=1),DP45,IF(AND($N$8=2,$N$20=4),DQ45,IF(AND($N$8=2,$N$20=5),DR45,IF(AND($N$8=2,$N$20=11),DS45,IF(AND($N$8=2,$N$20=7),DT45,IF(AND($N$8=2,$N$20=3),DU45,IF(AND($N$8=2,$N$20=6),DV45,IF(AND($N$8=2,$N$20=9),DW45,IF(AND($N$8=2,$N$20=2),DX45,IF(AND($N$8=2,$N$20=8),DY45,IF(AND($N$8=1,$N$20=1),DZ45,IF(AND($N$8=1,$N$20=1),DZ45,IF(AND($N$8=1,$N$20=4),EA45,IF(AND($N$8=1,$N$20=5),EB45,IF(AND($N$8=1,$N$20=11),EC45,IF(AND($N$8=1,$N$20=7),ED45,IF(AND($N$8=1,$N$20=3),EE45,IF(AND($N$8=1,$N$20=6),EF45,IF(AND($N$8=1,$N$20=9),EG45,IF(AND($N$8=1,$N$20=2),EH45,0))))))))))))))))))))</f>
        <v>0</v>
      </c>
      <c r="EJ45" s="77">
        <v>111170</v>
      </c>
      <c r="EK45" s="72">
        <v>111171</v>
      </c>
      <c r="EL45" s="72">
        <v>111172</v>
      </c>
      <c r="EM45" s="72">
        <v>111173</v>
      </c>
      <c r="EN45" s="72">
        <v>111174</v>
      </c>
      <c r="EO45" s="72">
        <v>111175</v>
      </c>
      <c r="EP45" s="72">
        <v>111176</v>
      </c>
      <c r="EQ45" s="72">
        <v>111177</v>
      </c>
      <c r="ER45" s="72">
        <v>111178</v>
      </c>
      <c r="ET45" s="72">
        <v>111160</v>
      </c>
      <c r="EU45" s="72">
        <v>111161</v>
      </c>
      <c r="EV45" s="72">
        <v>111162</v>
      </c>
      <c r="EW45" s="72">
        <v>111163</v>
      </c>
      <c r="EX45" s="72">
        <v>111164</v>
      </c>
      <c r="EY45" s="72">
        <v>111165</v>
      </c>
      <c r="EZ45" s="72">
        <v>111166</v>
      </c>
      <c r="FA45" s="72">
        <v>111167</v>
      </c>
      <c r="FB45" s="72">
        <v>111168</v>
      </c>
      <c r="FC45" s="78">
        <f>IF(AND($N$8=2,$N$20=1),EJ45,IF(AND($N$8=2,$N$20=4),EK45,IF(AND($N$8=2,$N$20=5),EL45,IF(AND($N$8=2,$N$20=11),EM45,IF(AND($N$8=2,$N$20=7),EN45,IF(AND($N$8=2,$N$20=3),EO45,IF(AND($N$8=2,$N$20=6),EP45,IF(AND($N$8=2,$N$20=9),EQ45,IF(AND($N$8=2,$N$20=2),ER45,IF(AND($N$8=2,$N$20=8),ES45,IF(AND($N$8=1,$N$20=1),ET45,IF(AND($N$8=1,$N$20=1),ET45,IF(AND($N$8=1,$N$20=4),EU45,IF(AND($N$8=1,$N$20=5),EV45,IF(AND($N$8=1,$N$20=11),EW45,IF(AND($N$8=1,$N$20=7),EX45,IF(AND($N$8=1,$N$20=3),EY45,IF(AND($N$8=1,$N$20=6),EZ45,IF(AND($N$8=1,$N$20=9),FA45,IF(AND($N$8=1,$N$20=2),FB45,0))))))))))))))))))))</f>
        <v>0</v>
      </c>
      <c r="FD45" s="77">
        <v>111170</v>
      </c>
      <c r="FE45" s="72">
        <v>111171</v>
      </c>
      <c r="FF45" s="72">
        <v>111172</v>
      </c>
      <c r="FG45" s="72">
        <v>111173</v>
      </c>
      <c r="FH45" s="72">
        <v>111174</v>
      </c>
      <c r="FI45" s="72">
        <v>111175</v>
      </c>
      <c r="FJ45" s="72">
        <v>111176</v>
      </c>
      <c r="FK45" s="72">
        <v>111177</v>
      </c>
      <c r="FL45" s="72">
        <v>111178</v>
      </c>
      <c r="FN45" s="72">
        <v>111160</v>
      </c>
      <c r="FO45" s="72">
        <v>111161</v>
      </c>
      <c r="FP45" s="72">
        <v>111162</v>
      </c>
      <c r="FQ45" s="72">
        <v>111163</v>
      </c>
      <c r="FR45" s="72">
        <v>111164</v>
      </c>
      <c r="FS45" s="72">
        <v>111165</v>
      </c>
      <c r="FT45" s="72">
        <v>111166</v>
      </c>
      <c r="FU45" s="72">
        <v>111167</v>
      </c>
      <c r="FV45" s="72">
        <v>111168</v>
      </c>
      <c r="FW45" s="78">
        <f>IF(AND($N$8=2,$N$20=1),FD45,IF(AND($N$8=2,$N$20=4),FE45,IF(AND($N$8=2,$N$20=5),FF45,IF(AND($N$8=2,$N$20=11),FG45,IF(AND($N$8=2,$N$20=7),FH45,IF(AND($N$8=2,$N$20=3),FI45,IF(AND($N$8=2,$N$20=6),FJ45,IF(AND($N$8=2,$N$20=9),FK45,IF(AND($N$8=2,$N$20=2),FL45,IF(AND($N$8=2,$N$20=8),FM45,IF(AND($N$8=1,$N$20=1),FN45,IF(AND($N$8=1,$N$20=1),FN45,IF(AND($N$8=1,$N$20=4),FO45,IF(AND($N$8=1,$N$20=5),FP45,IF(AND($N$8=1,$N$20=11),FQ45,IF(AND($N$8=1,$N$20=7),FR45,IF(AND($N$8=1,$N$20=3),FS45,IF(AND($N$8=1,$N$20=6),FT45,IF(AND($N$8=1,$N$20=9),FU45,IF(AND($N$8=1,$N$20=2),FV45,0))))))))))))))))))))</f>
        <v>0</v>
      </c>
      <c r="FX45" s="77">
        <v>111170</v>
      </c>
      <c r="FY45" s="72">
        <v>111171</v>
      </c>
      <c r="FZ45" s="72">
        <v>111172</v>
      </c>
      <c r="GA45" s="72">
        <v>111173</v>
      </c>
      <c r="GB45" s="72">
        <v>111174</v>
      </c>
      <c r="GC45" s="72">
        <v>111175</v>
      </c>
      <c r="GD45" s="72">
        <v>111176</v>
      </c>
      <c r="GE45" s="72">
        <v>111177</v>
      </c>
      <c r="GF45" s="72">
        <v>111178</v>
      </c>
      <c r="GH45" s="72">
        <v>111160</v>
      </c>
      <c r="GI45" s="72">
        <v>111161</v>
      </c>
      <c r="GJ45" s="72">
        <v>111162</v>
      </c>
      <c r="GK45" s="72">
        <v>111163</v>
      </c>
      <c r="GL45" s="72">
        <v>111164</v>
      </c>
      <c r="GM45" s="72">
        <v>111165</v>
      </c>
      <c r="GN45" s="72">
        <v>111166</v>
      </c>
      <c r="GO45" s="72">
        <v>111167</v>
      </c>
      <c r="GP45" s="72">
        <v>111168</v>
      </c>
      <c r="GQ45" s="78">
        <f>IF(AND($N$8=2,$N$20=1),FX45,IF(AND($N$8=2,$N$20=4),FY45,IF(AND($N$8=2,$N$20=5),FZ45,IF(AND($N$8=2,$N$20=11),GA45,IF(AND($N$8=2,$N$20=7),GB45,IF(AND($N$8=2,$N$20=3),GC45,IF(AND($N$8=2,$N$20=6),GD45,IF(AND($N$8=2,$N$20=9),GE45,IF(AND($N$8=2,$N$20=2),GF45,IF(AND($N$8=2,$N$20=8),GG45,IF(AND($N$8=1,$N$20=1),GH45,IF(AND($N$8=1,$N$20=1),GH45,IF(AND($N$8=1,$N$20=4),GI45,IF(AND($N$8=1,$N$20=5),GJ45,IF(AND($N$8=1,$N$20=11),GK45,IF(AND($N$8=1,$N$20=7),GL45,IF(AND($N$8=1,$N$20=3),GM45,IF(AND($N$8=1,$N$20=6),GN45,IF(AND($N$8=1,$N$20=9),GO45,IF(AND($N$8=1,$N$20=2),GP45,0))))))))))))))))))))</f>
        <v>0</v>
      </c>
      <c r="GR45" s="77">
        <v>111290</v>
      </c>
      <c r="GS45" s="72">
        <v>111291</v>
      </c>
      <c r="GT45" s="72">
        <v>111292</v>
      </c>
      <c r="GU45" s="72">
        <v>111293</v>
      </c>
      <c r="GV45" s="72">
        <v>111294</v>
      </c>
      <c r="GW45" s="72">
        <v>111295</v>
      </c>
      <c r="GX45" s="72">
        <v>111296</v>
      </c>
      <c r="GY45" s="72">
        <v>111297</v>
      </c>
      <c r="GZ45" s="72">
        <v>111298</v>
      </c>
      <c r="HB45" s="72">
        <v>111280</v>
      </c>
      <c r="HC45" s="72">
        <v>111281</v>
      </c>
      <c r="HD45" s="72">
        <v>111282</v>
      </c>
      <c r="HE45" s="72">
        <v>111283</v>
      </c>
      <c r="HF45" s="72">
        <v>111284</v>
      </c>
      <c r="HG45" s="72">
        <v>111285</v>
      </c>
      <c r="HH45" s="72">
        <v>111286</v>
      </c>
      <c r="HI45" s="72">
        <v>111287</v>
      </c>
      <c r="HJ45" s="72">
        <v>111288</v>
      </c>
      <c r="HK45" s="78">
        <f>IF(AND($N$8=2,$N$20=1),GR45,IF(AND($N$8=2,$N$20=4),GS45,IF(AND($N$8=2,$N$20=5),GT45,IF(AND($N$8=2,$N$20=11),GU45,IF(AND($N$8=2,$N$20=7),GV45,IF(AND($N$8=2,$N$20=3),GW45,IF(AND($N$8=2,$N$20=6),GX45,IF(AND($N$8=2,$N$20=9),GY45,IF(AND($N$8=2,$N$20=2),GZ45,IF(AND($N$8=2,$N$20=8),HA45,IF(AND($N$8=1,$N$20=1),HB45,IF(AND($N$8=1,$N$20=1),HB45,IF(AND($N$8=1,$N$20=4),HC45,IF(AND($N$8=1,$N$20=5),HD45,IF(AND($N$8=1,$N$20=11),HE45,IF(AND($N$8=1,$N$20=7),HF45,IF(AND($N$8=1,$N$20=3),HG45,IF(AND($N$8=1,$N$20=6),HH45,IF(AND($N$8=1,$N$20=9),HI45,IF(AND($N$8=1,$N$20=2),HJ45,0))))))))))))))))))))</f>
        <v>0</v>
      </c>
      <c r="HL45" s="77">
        <v>111290</v>
      </c>
      <c r="HM45" s="72">
        <v>111291</v>
      </c>
      <c r="HN45" s="72">
        <v>111292</v>
      </c>
      <c r="HO45" s="72">
        <v>111293</v>
      </c>
      <c r="HP45" s="72">
        <v>111294</v>
      </c>
      <c r="HQ45" s="72">
        <v>111295</v>
      </c>
      <c r="HR45" s="72">
        <v>111296</v>
      </c>
      <c r="HS45" s="72">
        <v>111297</v>
      </c>
      <c r="HT45" s="72">
        <v>111298</v>
      </c>
      <c r="HV45" s="72">
        <v>111280</v>
      </c>
      <c r="HW45" s="72">
        <v>111281</v>
      </c>
      <c r="HX45" s="72">
        <v>111282</v>
      </c>
      <c r="HY45" s="72">
        <v>111283</v>
      </c>
      <c r="HZ45" s="72">
        <v>111284</v>
      </c>
      <c r="IA45" s="72">
        <v>111285</v>
      </c>
      <c r="IB45" s="72">
        <v>111286</v>
      </c>
      <c r="IC45" s="72">
        <v>111287</v>
      </c>
      <c r="ID45" s="72">
        <v>111288</v>
      </c>
      <c r="IE45" s="78">
        <f>IF(AND($N$8=2,$N$20=1),HL45,IF(AND($N$8=2,$N$20=4),HM45,IF(AND($N$8=2,$N$20=5),HN45,IF(AND($N$8=2,$N$20=11),HO45,IF(AND($N$8=2,$N$20=7),HP45,IF(AND($N$8=2,$N$20=3),HQ45,IF(AND($N$8=2,$N$20=6),HR45,IF(AND($N$8=2,$N$20=9),HS45,IF(AND($N$8=2,$N$20=2),HT45,IF(AND($N$8=2,$N$20=8),HU45,IF(AND($N$8=1,$N$20=1),HV45,IF(AND($N$8=1,$N$20=1),HV45,IF(AND($N$8=1,$N$20=4),HW45,IF(AND($N$8=1,$N$20=5),HX45,IF(AND($N$8=1,$N$20=11),HY45,IF(AND($N$8=1,$N$20=7),HZ45,IF(AND($N$8=1,$N$20=3),IA45,IF(AND($N$8=1,$N$20=6),IB45,IF(AND($N$8=1,$N$20=9),IC45,IF(AND($N$8=1,$N$20=2),ID45,0))))))))))))))))))))</f>
        <v>0</v>
      </c>
      <c r="IF45" s="77">
        <v>111190</v>
      </c>
      <c r="IG45" s="72">
        <v>111191</v>
      </c>
      <c r="IH45" s="72">
        <v>111192</v>
      </c>
      <c r="II45" s="72">
        <v>111193</v>
      </c>
      <c r="IJ45" s="72">
        <v>111194</v>
      </c>
      <c r="IK45" s="72">
        <v>111195</v>
      </c>
      <c r="IL45" s="72">
        <v>111196</v>
      </c>
      <c r="IM45" s="72">
        <v>111197</v>
      </c>
      <c r="IN45" s="72">
        <v>111198</v>
      </c>
      <c r="IP45" s="72">
        <v>111180</v>
      </c>
      <c r="IQ45" s="72">
        <v>111181</v>
      </c>
      <c r="IR45" s="72">
        <v>111182</v>
      </c>
      <c r="IS45" s="72">
        <v>111183</v>
      </c>
      <c r="IT45" s="72">
        <v>111184</v>
      </c>
      <c r="IU45" s="72">
        <v>111185</v>
      </c>
      <c r="IV45" s="72">
        <v>111186</v>
      </c>
      <c r="IW45" s="72">
        <v>111187</v>
      </c>
      <c r="IX45" s="72">
        <v>111188</v>
      </c>
      <c r="IY45" s="78">
        <f>IF(AND($N$8=2,$N$20=1),IF45,IF(AND($N$8=2,$N$20=4),IG45,IF(AND($N$8=2,$N$20=5),IH45,IF(AND($N$8=2,$N$20=11),II45,IF(AND($N$8=2,$N$20=7),IJ45,IF(AND($N$8=2,$N$20=3),IK45,IF(AND($N$8=2,$N$20=6),IL45,IF(AND($N$8=2,$N$20=9),IM45,IF(AND($N$8=2,$N$20=2),IN45,IF(AND($N$8=2,$N$20=8),IO45,IF(AND($N$8=1,$N$20=1),IP45,IF(AND($N$8=1,$N$20=1),IP45,IF(AND($N$8=1,$N$20=4),IQ45,IF(AND($N$8=1,$N$20=5),IR45,IF(AND($N$8=1,$N$20=11),IS45,IF(AND($N$8=1,$N$20=7),IT45,IF(AND($N$8=1,$N$20=3),IU45,IF(AND($N$8=1,$N$20=6),IV45,IF(AND($N$8=1,$N$20=9),IW45,IF(AND($N$8=1,$N$20=2),IX45,0))))))))))))))))))))</f>
        <v>0</v>
      </c>
      <c r="IZ45" s="77">
        <v>111190</v>
      </c>
      <c r="JA45" s="72">
        <v>111191</v>
      </c>
      <c r="JB45" s="72">
        <v>111192</v>
      </c>
      <c r="JC45" s="72">
        <v>111193</v>
      </c>
      <c r="JD45" s="72">
        <v>111194</v>
      </c>
      <c r="JE45" s="72">
        <v>111195</v>
      </c>
      <c r="JF45" s="72">
        <v>111196</v>
      </c>
      <c r="JG45" s="72">
        <v>111197</v>
      </c>
      <c r="JH45" s="72">
        <v>111198</v>
      </c>
      <c r="JJ45" s="72">
        <v>111180</v>
      </c>
      <c r="JK45" s="72">
        <v>111181</v>
      </c>
      <c r="JL45" s="72">
        <v>111182</v>
      </c>
      <c r="JM45" s="72">
        <v>111183</v>
      </c>
      <c r="JN45" s="72">
        <v>111184</v>
      </c>
      <c r="JO45" s="72">
        <v>111185</v>
      </c>
      <c r="JP45" s="72">
        <v>111186</v>
      </c>
      <c r="JQ45" s="72">
        <v>111187</v>
      </c>
      <c r="JR45" s="72">
        <v>111188</v>
      </c>
      <c r="JS45" s="78">
        <f>IF(AND($N$8=2,$N$20=1),IZ45,IF(AND($N$8=2,$N$20=4),JA45,IF(AND($N$8=2,$N$20=5),JB45,IF(AND($N$8=2,$N$20=11),JC45,IF(AND($N$8=2,$N$20=7),JD45,IF(AND($N$8=2,$N$20=3),JE45,IF(AND($N$8=2,$N$20=6),JF45,IF(AND($N$8=2,$N$20=9),JG45,IF(AND($N$8=2,$N$20=2),JH45,IF(AND($N$8=2,$N$20=8),JI45,IF(AND($N$8=1,$N$20=1),JJ45,IF(AND($N$8=1,$N$20=1),JJ45,IF(AND($N$8=1,$N$20=4),JK45,IF(AND($N$8=1,$N$20=5),JL45,IF(AND($N$8=1,$N$20=11),JM45,IF(AND($N$8=1,$N$20=7),JN45,IF(AND($N$8=1,$N$20=3),JO45,IF(AND($N$8=1,$N$20=6),JP45,IF(AND($N$8=1,$N$20=9),JQ45,IF(AND($N$8=1,$N$20=2),JR45,0))))))))))))))))))))</f>
        <v>0</v>
      </c>
      <c r="JT45" s="77">
        <v>111190</v>
      </c>
      <c r="JU45" s="72">
        <v>111191</v>
      </c>
      <c r="JV45" s="72">
        <v>111192</v>
      </c>
      <c r="JW45" s="72">
        <v>111193</v>
      </c>
      <c r="JX45" s="72">
        <v>111194</v>
      </c>
      <c r="JY45" s="72">
        <v>111195</v>
      </c>
      <c r="JZ45" s="72">
        <v>111196</v>
      </c>
      <c r="KA45" s="72">
        <v>111197</v>
      </c>
      <c r="KB45" s="72">
        <v>111198</v>
      </c>
      <c r="KD45" s="72">
        <v>111180</v>
      </c>
      <c r="KE45" s="72">
        <v>111181</v>
      </c>
      <c r="KF45" s="72">
        <v>111182</v>
      </c>
      <c r="KG45" s="72">
        <v>111183</v>
      </c>
      <c r="KH45" s="72">
        <v>111184</v>
      </c>
      <c r="KI45" s="72">
        <v>111185</v>
      </c>
      <c r="KJ45" s="72">
        <v>111186</v>
      </c>
      <c r="KK45" s="72">
        <v>111187</v>
      </c>
      <c r="KL45" s="72">
        <v>111188</v>
      </c>
      <c r="KM45" s="78">
        <f>IF(AND($N$8=2,$N$20=1),JT45,IF(AND($N$8=2,$N$20=4),JU45,IF(AND($N$8=2,$N$20=5),JV45,IF(AND($N$8=2,$N$20=11),JW45,IF(AND($N$8=2,$N$20=7),JX45,IF(AND($N$8=2,$N$20=3),JY45,IF(AND($N$8=2,$N$20=6),JZ45,IF(AND($N$8=2,$N$20=9),KA45,IF(AND($N$8=2,$N$20=2),KB45,IF(AND($N$8=2,$N$20=8),KC45,IF(AND($N$8=1,$N$20=1),KD45,IF(AND($N$8=1,$N$20=1),KD45,IF(AND($N$8=1,$N$20=4),KE45,IF(AND($N$8=1,$N$20=5),KF45,IF(AND($N$8=1,$N$20=11),KG45,IF(AND($N$8=1,$N$20=7),KH45,IF(AND($N$8=1,$N$20=3),KI45,IF(AND($N$8=1,$N$20=6),KJ45,IF(AND($N$8=1,$N$20=9),KK45,IF(AND($N$8=1,$N$20=2),KL45,0))))))))))))))))))))</f>
        <v>0</v>
      </c>
      <c r="KN45" s="77">
        <v>111210</v>
      </c>
      <c r="KO45" s="72">
        <v>111211</v>
      </c>
      <c r="KP45" s="72">
        <v>111212</v>
      </c>
      <c r="KQ45" s="72">
        <v>111213</v>
      </c>
      <c r="KR45" s="72">
        <v>111214</v>
      </c>
      <c r="KS45" s="72">
        <v>111215</v>
      </c>
      <c r="KT45" s="72">
        <v>111216</v>
      </c>
      <c r="KU45" s="72">
        <v>111217</v>
      </c>
      <c r="KV45" s="72">
        <v>111218</v>
      </c>
      <c r="KX45" s="72">
        <v>111200</v>
      </c>
      <c r="KY45" s="72">
        <v>111201</v>
      </c>
      <c r="KZ45" s="72">
        <v>111202</v>
      </c>
      <c r="LA45" s="72">
        <v>111203</v>
      </c>
      <c r="LB45" s="72">
        <v>111204</v>
      </c>
      <c r="LC45" s="72">
        <v>111205</v>
      </c>
      <c r="LD45" s="72">
        <v>111206</v>
      </c>
      <c r="LE45" s="72">
        <v>111207</v>
      </c>
      <c r="LF45" s="72">
        <v>111208</v>
      </c>
      <c r="LG45" s="78">
        <f>IF(AND($N$8=2,$N$20=1),KN45,IF(AND($N$8=2,$N$20=4),KO45,IF(AND($N$8=2,$N$20=5),KP45,IF(AND($N$8=2,$N$20=11),KQ45,IF(AND($N$8=2,$N$20=7),KR45,IF(AND($N$8=2,$N$20=3),KS45,IF(AND($N$8=2,$N$20=6),KT45,IF(AND($N$8=2,$N$20=9),KU45,IF(AND($N$8=2,$N$20=2),KV45,IF(AND($N$8=2,$N$20=8),KW45,IF(AND($N$8=1,$N$20=1),KX45,IF(AND($N$8=1,$N$20=1),KX45,IF(AND($N$8=1,$N$20=4),KY45,IF(AND($N$8=1,$N$20=5),KZ45,IF(AND($N$8=1,$N$20=11),LA45,IF(AND($N$8=1,$N$20=7),LB45,IF(AND($N$8=1,$N$20=3),LC45,IF(AND($N$8=1,$N$20=6),LD45,IF(AND($N$8=1,$N$20=9),LE45,IF(AND($N$8=1,$N$20=2),LF45,0))))))))))))))))))))</f>
        <v>0</v>
      </c>
      <c r="LH45" s="77">
        <v>111230</v>
      </c>
      <c r="LI45" s="72">
        <v>111231</v>
      </c>
      <c r="LJ45" s="72">
        <v>111232</v>
      </c>
      <c r="LK45" s="72">
        <v>111233</v>
      </c>
      <c r="LL45" s="72">
        <v>111234</v>
      </c>
      <c r="LM45" s="72">
        <v>111235</v>
      </c>
      <c r="LN45" s="72">
        <v>111236</v>
      </c>
      <c r="LO45" s="72">
        <v>111237</v>
      </c>
      <c r="LP45" s="72">
        <v>111238</v>
      </c>
      <c r="LR45" s="72">
        <v>111220</v>
      </c>
      <c r="LS45" s="72">
        <v>111221</v>
      </c>
      <c r="LT45" s="72">
        <v>111222</v>
      </c>
      <c r="LU45" s="72">
        <v>111223</v>
      </c>
      <c r="LV45" s="72">
        <v>111224</v>
      </c>
      <c r="LW45" s="72">
        <v>111225</v>
      </c>
      <c r="LX45" s="72">
        <v>111226</v>
      </c>
      <c r="LY45" s="72">
        <v>111227</v>
      </c>
      <c r="LZ45" s="72">
        <v>111228</v>
      </c>
      <c r="MA45" s="78">
        <f>IF(AND($N$8=2,$N$20=1),LH45,IF(AND($N$8=2,$N$20=4),LI45,IF(AND($N$8=2,$N$20=5),LJ45,IF(AND($N$8=2,$N$20=11),LK45,IF(AND($N$8=2,$N$20=7),LL45,IF(AND($N$8=2,$N$20=3),LM45,IF(AND($N$8=2,$N$20=6),LN45,IF(AND($N$8=2,$N$20=9),LO45,IF(AND($N$8=2,$N$20=2),LP45,IF(AND($N$8=2,$N$20=8),LQ45,IF(AND($N$8=1,$N$20=1),LR45,IF(AND($N$8=1,$N$20=1),LR45,IF(AND($N$8=1,$N$20=4),LS45,IF(AND($N$8=1,$N$20=5),LT45,IF(AND($N$8=1,$N$20=11),LU45,IF(AND($N$8=1,$N$20=7),LV45,IF(AND($N$8=1,$N$20=3),LW45,IF(AND($N$8=1,$N$20=6),LX45,IF(AND($N$8=1,$N$20=9),LY45,IF(AND($N$8=1,$N$20=2),LZ45,0))))))))))))))))))))</f>
        <v>0</v>
      </c>
      <c r="MB45" s="77">
        <v>111230</v>
      </c>
      <c r="MC45" s="72">
        <v>111231</v>
      </c>
      <c r="MD45" s="72">
        <v>111232</v>
      </c>
      <c r="ME45" s="72">
        <v>111233</v>
      </c>
      <c r="MF45" s="72">
        <v>111234</v>
      </c>
      <c r="MG45" s="72">
        <v>111235</v>
      </c>
      <c r="MH45" s="72">
        <v>111236</v>
      </c>
      <c r="MI45" s="72">
        <v>111237</v>
      </c>
      <c r="MJ45" s="72">
        <v>111238</v>
      </c>
      <c r="ML45" s="72">
        <v>111220</v>
      </c>
      <c r="MM45" s="72">
        <v>111221</v>
      </c>
      <c r="MN45" s="72">
        <v>111222</v>
      </c>
      <c r="MO45" s="72">
        <v>111223</v>
      </c>
      <c r="MP45" s="72">
        <v>111224</v>
      </c>
      <c r="MQ45" s="72">
        <v>111225</v>
      </c>
      <c r="MR45" s="72">
        <v>111226</v>
      </c>
      <c r="MS45" s="72">
        <v>111227</v>
      </c>
      <c r="MT45" s="72">
        <v>111228</v>
      </c>
      <c r="MU45" s="78">
        <f>IF(AND($N$8=2,$N$20=1),MB45,IF(AND($N$8=2,$N$20=4),MC45,IF(AND($N$8=2,$N$20=5),MD45,IF(AND($N$8=2,$N$20=11),ME45,IF(AND($N$8=2,$N$20=7),MF45,IF(AND($N$8=2,$N$20=3),MG45,IF(AND($N$8=2,$N$20=6),MH45,IF(AND($N$8=2,$N$20=9),MI45,IF(AND($N$8=2,$N$20=2),MJ45,IF(AND($N$8=2,$N$20=8),MK45,IF(AND($N$8=1,$N$20=1),ML45,IF(AND($N$8=1,$N$20=1),ML45,IF(AND($N$8=1,$N$20=4),MM45,IF(AND($N$8=1,$N$20=5),MN45,IF(AND($N$8=1,$N$20=11),MO45,IF(AND($N$8=1,$N$20=7),MP45,IF(AND($N$8=1,$N$20=3),MQ45,IF(AND($N$8=1,$N$20=6),MR45,IF(AND($N$8=1,$N$20=9),MS45,IF(AND($N$8=1,$N$20=2),MT45,0))))))))))))))))))))</f>
        <v>0</v>
      </c>
      <c r="MV45" s="77">
        <v>111610</v>
      </c>
      <c r="MW45" s="72">
        <v>111611</v>
      </c>
      <c r="MX45" s="72">
        <v>111612</v>
      </c>
      <c r="MY45" s="72">
        <v>111613</v>
      </c>
      <c r="MZ45" s="72">
        <v>111614</v>
      </c>
      <c r="NA45" s="72">
        <v>111615</v>
      </c>
      <c r="NB45" s="72">
        <v>111616</v>
      </c>
      <c r="NC45" s="72">
        <v>111617</v>
      </c>
      <c r="ND45" s="72">
        <v>111618</v>
      </c>
      <c r="NF45" s="72">
        <v>111600</v>
      </c>
      <c r="NG45" s="72">
        <v>111601</v>
      </c>
      <c r="NH45" s="72">
        <v>111602</v>
      </c>
      <c r="NI45" s="72">
        <v>111603</v>
      </c>
      <c r="NJ45" s="72">
        <v>111604</v>
      </c>
      <c r="NK45" s="72">
        <v>111605</v>
      </c>
      <c r="NL45" s="72">
        <v>111606</v>
      </c>
      <c r="NM45" s="72">
        <v>111607</v>
      </c>
      <c r="NN45" s="72">
        <v>111608</v>
      </c>
      <c r="NO45" s="78">
        <f>IF(AND($N$8=2,$N$20=1),MV45,IF(AND($N$8=2,$N$20=4),MW45,IF(AND($N$8=2,$N$20=5),MX45,IF(AND($N$8=2,$N$20=11),MY45,IF(AND($N$8=2,$N$20=7),MZ45,IF(AND($N$8=2,$N$20=3),NA45,IF(AND($N$8=2,$N$20=6),NB45,IF(AND($N$8=2,$N$20=9),NC45,IF(AND($N$8=2,$N$20=2),ND45,IF(AND($N$8=2,$N$20=8),NE45,IF(AND($N$8=1,$N$20=1),NF45,IF(AND($N$8=1,$N$20=1),NF45,IF(AND($N$8=1,$N$20=4),NG45,IF(AND($N$8=1,$N$20=5),NH45,IF(AND($N$8=1,$N$20=11),NI45,IF(AND($N$8=1,$N$20=7),NJ45,IF(AND($N$8=1,$N$20=3),NK45,IF(AND($N$8=1,$N$20=6),NL45,IF(AND($N$8=1,$N$20=9),NM45,IF(AND($N$8=1,$N$20=2),NN45,0))))))))))))))))))))</f>
        <v>0</v>
      </c>
      <c r="NP45" s="77">
        <v>111250</v>
      </c>
      <c r="NQ45" s="72">
        <v>111251</v>
      </c>
      <c r="NR45" s="72">
        <v>111252</v>
      </c>
      <c r="NS45" s="72">
        <v>111253</v>
      </c>
      <c r="NT45" s="72">
        <v>111254</v>
      </c>
      <c r="NU45" s="72">
        <v>111255</v>
      </c>
      <c r="NV45" s="72">
        <v>111256</v>
      </c>
      <c r="NW45" s="72">
        <v>111257</v>
      </c>
      <c r="NX45" s="72">
        <v>111258</v>
      </c>
      <c r="NZ45" s="72">
        <v>111240</v>
      </c>
      <c r="OA45" s="72">
        <v>111241</v>
      </c>
      <c r="OB45" s="72">
        <v>111242</v>
      </c>
      <c r="OC45" s="72">
        <v>111243</v>
      </c>
      <c r="OD45" s="72">
        <v>111244</v>
      </c>
      <c r="OE45" s="72">
        <v>111245</v>
      </c>
      <c r="OF45" s="72">
        <v>111246</v>
      </c>
      <c r="OG45" s="72">
        <v>111247</v>
      </c>
      <c r="OH45" s="72">
        <v>111248</v>
      </c>
      <c r="OI45" s="78">
        <f>IF(AND($N$8=2,$N$20=1),NP45,IF(AND($N$8=2,$N$20=4),NQ45,IF(AND($N$8=2,$N$20=5),NR45,IF(AND($N$8=2,$N$20=11),NS45,IF(AND($N$8=2,$N$20=7),NT45,IF(AND($N$8=2,$N$20=3),NU45,IF(AND($N$8=2,$N$20=6),NV45,IF(AND($N$8=2,$N$20=9),NW45,IF(AND($N$8=2,$N$20=2),NX45,IF(AND($N$8=2,$N$20=8),NY45,IF(AND($N$8=1,$N$20=1),NZ45,IF(AND($N$8=1,$N$20=1),NZ45,IF(AND($N$8=1,$N$20=4),OA45,IF(AND($N$8=1,$N$20=5),OB45,IF(AND($N$8=1,$N$20=11),OC45,IF(AND($N$8=1,$N$20=7),OD45,IF(AND($N$8=1,$N$20=3),OE45,IF(AND($N$8=1,$N$20=6),OF45,IF(AND($N$8=1,$N$20=9),OG45,IF(AND($N$8=1,$N$20=2),OH45,0))))))))))))))))))))</f>
        <v>0</v>
      </c>
      <c r="OJ45" s="77">
        <v>111250</v>
      </c>
      <c r="OK45" s="72">
        <v>111251</v>
      </c>
      <c r="OL45" s="72">
        <v>111252</v>
      </c>
      <c r="OM45" s="72">
        <v>111253</v>
      </c>
      <c r="ON45" s="72">
        <v>111254</v>
      </c>
      <c r="OO45" s="72">
        <v>111255</v>
      </c>
      <c r="OP45" s="72">
        <v>111256</v>
      </c>
      <c r="OQ45" s="72">
        <v>111257</v>
      </c>
      <c r="OR45" s="72">
        <v>111258</v>
      </c>
      <c r="OT45" s="72">
        <v>111240</v>
      </c>
      <c r="OU45" s="72">
        <v>111241</v>
      </c>
      <c r="OV45" s="72">
        <v>111242</v>
      </c>
      <c r="OW45" s="72">
        <v>111243</v>
      </c>
      <c r="OX45" s="72">
        <v>111244</v>
      </c>
      <c r="OY45" s="72">
        <v>111245</v>
      </c>
      <c r="OZ45" s="72">
        <v>111246</v>
      </c>
      <c r="PA45" s="72">
        <v>111247</v>
      </c>
      <c r="PB45" s="72">
        <v>111248</v>
      </c>
      <c r="PC45" s="78">
        <f>IF(AND($N$8=2,$N$20=1),OJ45,IF(AND($N$8=2,$N$20=4),OK45,IF(AND($N$8=2,$N$20=5),OL45,IF(AND($N$8=2,$N$20=11),OM45,IF(AND($N$8=2,$N$20=7),ON45,IF(AND($N$8=2,$N$20=3),OO45,IF(AND($N$8=2,$N$20=6),OP45,IF(AND($N$8=2,$N$20=9),OQ45,IF(AND($N$8=2,$N$20=2),OR45,IF(AND($N$8=2,$N$20=8),OS45,IF(AND($N$8=1,$N$20=1),OT45,IF(AND($N$8=1,$N$20=1),OT45,IF(AND($N$8=1,$N$20=4),OU45,IF(AND($N$8=1,$N$20=5),OV45,IF(AND($N$8=1,$N$20=11),OW45,IF(AND($N$8=1,$N$20=7),OX45,IF(AND($N$8=1,$N$20=3),OY45,IF(AND($N$8=1,$N$20=6),OZ45,IF(AND($N$8=1,$N$20=9),PA45,IF(AND($N$8=1,$N$20=2),PB45,0))))))))))))))))))))</f>
        <v>0</v>
      </c>
      <c r="PD45" s="77">
        <v>111630</v>
      </c>
      <c r="PE45" s="72">
        <v>111631</v>
      </c>
      <c r="PF45" s="72">
        <v>111632</v>
      </c>
      <c r="PG45" s="72">
        <v>111633</v>
      </c>
      <c r="PH45" s="72">
        <v>111634</v>
      </c>
      <c r="PI45" s="72">
        <v>111635</v>
      </c>
      <c r="PJ45" s="72">
        <v>111636</v>
      </c>
      <c r="PK45" s="72">
        <v>111637</v>
      </c>
      <c r="PL45" s="72">
        <v>111638</v>
      </c>
      <c r="PN45" s="72">
        <v>111620</v>
      </c>
      <c r="PO45" s="72">
        <v>111621</v>
      </c>
      <c r="PP45" s="72">
        <v>111622</v>
      </c>
      <c r="PQ45" s="72">
        <v>111623</v>
      </c>
      <c r="PR45" s="72">
        <v>111624</v>
      </c>
      <c r="PS45" s="72">
        <v>111625</v>
      </c>
      <c r="PT45" s="72">
        <v>111626</v>
      </c>
      <c r="PU45" s="72">
        <v>111627</v>
      </c>
      <c r="PV45" s="72">
        <v>111628</v>
      </c>
      <c r="PW45" s="78">
        <f>IF(AND($N$8=2,$N$20=1),PD45,IF(AND($N$8=2,$N$20=4),PE45,IF(AND($N$8=2,$N$20=5),PF45,IF(AND($N$8=2,$N$20=11),PG45,IF(AND($N$8=2,$N$20=7),PH45,IF(AND($N$8=2,$N$20=3),PI45,IF(AND($N$8=2,$N$20=6),PJ45,IF(AND($N$8=2,$N$20=9),PK45,IF(AND($N$8=2,$N$20=2),PL45,IF(AND($N$8=2,$N$20=8),PM45,IF(AND($N$8=1,$N$20=1),PN45,IF(AND($N$8=1,$N$20=1),PN45,IF(AND($N$8=1,$N$20=4),PO45,IF(AND($N$8=1,$N$20=5),PP45,IF(AND($N$8=1,$N$20=11),PQ45,IF(AND($N$8=1,$N$20=7),PR45,IF(AND($N$8=1,$N$20=3),PS45,IF(AND($N$8=1,$N$20=6),PT45,IF(AND($N$8=1,$N$20=9),PU45,IF(AND($N$8=1,$N$20=2),PV45,0))))))))))))))))))))</f>
        <v>0</v>
      </c>
    </row>
    <row r="46" spans="1:439" ht="32.1" customHeight="1">
      <c r="A46" s="164"/>
      <c r="B46" s="137" t="str">
        <f>VLOOKUP("Stk",Sprachindex!A:Z,Info!$O$6,FALSE)</f>
        <v>STK</v>
      </c>
      <c r="C46" s="135"/>
      <c r="D46" s="136">
        <f>IF(OR(J46=Formeln!A51,J46=Formeln!A52,J46=Formeln!A53,J46=Formeln!A83,J46=Formeln!A84,J46=Formeln!A85),AM46,IF(OR(J46=Formeln!A54,J46=Formeln!A55,J46=Formeln!A56,J46=Formeln!A86,J46=Formeln!A87,J46=Formeln!A88),BG46,IF(OR(J46=Formeln!A57,J46=Formeln!A58,J46=Formeln!A59,J46=Formeln!A60,J46=Formeln!A61,J46=Formeln!A89,J46=Formeln!A90,J46=Formeln!A91,J46=Formeln!A92,J46=Formeln!A93),CA46,IF(OR(J46=Formeln!A62,J46=Formeln!A63,J46=Formeln!A64,J46=Formeln!A94,J46=Formeln!A95,J46=Formeln!A96),CU46,IF(OR(J46=Formeln!A65,J46=Formeln!A66,J46=Formeln!A97,J46=Formeln!A98),DO46,IF(OR(J46=Formeln!A67,J46=Formeln!A68,J46=Formeln!A69,J46=Formeln!A70,J46=Formeln!A71,J46=Formeln!A99,J46=Formeln!A100,J46=Formeln!A101,J46=Formeln!A102,J46=Formeln!A103),EI46,IF(OR(J46=Formeln!A72,J46=Formeln!A73,J46=Formeln!A74,J46=Formeln!A104,J46=Formeln!A105,J46=Formeln!A106),FC46,0)))))))</f>
        <v>0</v>
      </c>
      <c r="E46" s="264" t="str">
        <f>VLOOKUP("PREFA Einfassung für Roto-Dachflächenfenster stucco",Sprachindex!A:Z,Info!$O$6,FALSE)</f>
        <v>PREFA Einfassung für Roto-Dachflächenfenster stucco</v>
      </c>
      <c r="F46" s="265"/>
      <c r="G46" s="265"/>
      <c r="H46" s="265"/>
      <c r="I46" s="145" t="str">
        <f>VLOOKUP("Maße:",Sprachindex!A:Z,Info!$O$6,FALSE)</f>
        <v>Maße:</v>
      </c>
      <c r="J46" s="269"/>
      <c r="K46" s="270"/>
      <c r="L46" s="137" t="str">
        <f t="shared" si="0"/>
        <v/>
      </c>
      <c r="M46" s="138"/>
      <c r="O46" s="1"/>
      <c r="P46" s="11"/>
      <c r="Q46" s="11" t="str">
        <f>ROUNDUP(A46/1,0)*1 &amp;" " &amp; VLOOKUP("Stk",Sprachindex!A:Z,Info!$O$6,FALSE)</f>
        <v>0 STK</v>
      </c>
      <c r="T46" s="72">
        <v>111300</v>
      </c>
      <c r="U46" s="72">
        <v>111301</v>
      </c>
      <c r="V46" s="72">
        <v>111302</v>
      </c>
      <c r="W46" s="72">
        <v>111303</v>
      </c>
      <c r="X46" s="72">
        <v>111304</v>
      </c>
      <c r="Y46" s="72">
        <v>111305</v>
      </c>
      <c r="Z46" s="72">
        <v>111306</v>
      </c>
      <c r="AA46" s="72">
        <v>111307</v>
      </c>
      <c r="AB46" s="72">
        <v>111308</v>
      </c>
      <c r="AD46" s="72">
        <v>111310</v>
      </c>
      <c r="AE46" s="72">
        <v>111311</v>
      </c>
      <c r="AF46" s="72">
        <v>111312</v>
      </c>
      <c r="AG46" s="72">
        <v>111313</v>
      </c>
      <c r="AH46" s="72">
        <v>111314</v>
      </c>
      <c r="AI46" s="72">
        <v>111315</v>
      </c>
      <c r="AJ46" s="72">
        <v>111316</v>
      </c>
      <c r="AK46" s="72">
        <v>111317</v>
      </c>
      <c r="AL46" s="72">
        <v>111318</v>
      </c>
      <c r="AM46" s="78">
        <f>IF(AND($N$8=2,$N$20=1),T46,IF(AND($N$8=2,$N$20=4),U46,IF(AND($N$8=2,$N$20=5),V46,IF(AND($N$8=2,$N$20=11),W46,IF(AND($N$8=2,$N$20=7),X46,IF(AND($N$8=2,$N$20=3),Y46,IF(AND($N$8=2,$N$20=6),Z46,IF(AND($N$8=2,$N$20=9),AA46,IF(AND($N$8=2,$N$20=2),AB46,IF(AND($N$8=2,$N$20=8),AC46,IF(AND($N$8=1,$N$20=1),AD46,IF(AND($N$8=1,$N$20=1),AD46,IF(AND($N$8=1,$N$20=4),AE46,IF(AND($N$8=1,$N$20=5),AF46,IF(AND($N$8=1,$N$20=11),AG46,IF(AND($N$8=1,$N$20=7),AH46,IF(AND($N$8=1,$N$20=3),AI46,IF(AND($N$8=1,$N$20=6),AJ46,IF(AND($N$8=1,$N$20=9),AK46,IF(AND($N$8=1,$N$20=2),AL46,0))))))))))))))))))))</f>
        <v>0</v>
      </c>
      <c r="AN46" s="72">
        <v>111320</v>
      </c>
      <c r="AO46" s="72">
        <v>111321</v>
      </c>
      <c r="AP46" s="72">
        <v>111322</v>
      </c>
      <c r="AQ46" s="72">
        <v>111323</v>
      </c>
      <c r="AR46" s="72">
        <v>111324</v>
      </c>
      <c r="AS46" s="72">
        <v>111325</v>
      </c>
      <c r="AT46" s="72">
        <v>111326</v>
      </c>
      <c r="AU46" s="72">
        <v>111327</v>
      </c>
      <c r="AV46" s="72">
        <v>111328</v>
      </c>
      <c r="AX46" s="72">
        <v>111330</v>
      </c>
      <c r="AY46" s="72">
        <v>111331</v>
      </c>
      <c r="AZ46" s="72">
        <v>111332</v>
      </c>
      <c r="BA46" s="72">
        <v>111333</v>
      </c>
      <c r="BB46" s="72">
        <v>111334</v>
      </c>
      <c r="BC46" s="72">
        <v>111335</v>
      </c>
      <c r="BD46" s="72">
        <v>111336</v>
      </c>
      <c r="BE46" s="72">
        <v>111337</v>
      </c>
      <c r="BF46" s="72">
        <v>111338</v>
      </c>
      <c r="BG46" s="78">
        <f>IF(AND($N$8=2,$N$20=1),AN46,IF(AND($N$8=2,$N$20=4),AO46,IF(AND($N$8=2,$N$20=5),AP46,IF(AND($N$8=2,$N$20=11),AQ46,IF(AND($N$8=2,$N$20=7),AR46,IF(AND($N$8=2,$N$20=3),AS46,IF(AND($N$8=2,$N$20=6),AT46,IF(AND($N$8=2,$N$20=9),AU46,IF(AND($N$8=2,$N$20=2),AV46,IF(AND($N$8=2,$N$20=8),AW46,IF(AND($N$8=1,$N$20=1),AX46,IF(AND($N$8=1,$N$20=1),AX46,IF(AND($N$8=1,$N$20=4),AY46,IF(AND($N$8=1,$N$20=5),AZ46,IF(AND($N$8=1,$N$20=11),BA46,IF(AND($N$8=1,$N$20=7),BB46,IF(AND($N$8=1,$N$20=3),BC46,IF(AND($N$8=1,$N$20=6),BD46,IF(AND($N$8=1,$N$20=9),BE46,IF(AND($N$8=1,$N$20=2),BF46,0))))))))))))))))))))</f>
        <v>0</v>
      </c>
      <c r="BH46" s="72">
        <v>111360</v>
      </c>
      <c r="BI46" s="72">
        <v>111361</v>
      </c>
      <c r="BJ46" s="72">
        <v>111362</v>
      </c>
      <c r="BK46" s="72">
        <v>111363</v>
      </c>
      <c r="BL46" s="72">
        <v>111364</v>
      </c>
      <c r="BM46" s="72">
        <v>111365</v>
      </c>
      <c r="BN46" s="72">
        <v>111366</v>
      </c>
      <c r="BO46" s="72">
        <v>111367</v>
      </c>
      <c r="BP46" s="72">
        <v>111368</v>
      </c>
      <c r="BR46" s="72">
        <v>111370</v>
      </c>
      <c r="BS46" s="72">
        <v>111371</v>
      </c>
      <c r="BT46" s="72">
        <v>111372</v>
      </c>
      <c r="BU46" s="72">
        <v>111373</v>
      </c>
      <c r="BV46" s="72">
        <v>111374</v>
      </c>
      <c r="BW46" s="72">
        <v>111375</v>
      </c>
      <c r="BX46" s="72">
        <v>111376</v>
      </c>
      <c r="BY46" s="72">
        <v>111377</v>
      </c>
      <c r="BZ46" s="72">
        <v>111378</v>
      </c>
      <c r="CA46" s="78">
        <f>IF(AND($N$8=2,$N$20=1),BH46,IF(AND($N$8=2,$N$20=4),BI46,IF(AND($N$8=2,$N$20=5),BJ46,IF(AND($N$8=2,$N$20=11),BK46,IF(AND($N$8=2,$N$20=7),BL46,IF(AND($N$8=2,$N$20=3),BM46,IF(AND($N$8=2,$N$20=6),BN46,IF(AND($N$8=2,$N$20=9),BO46,IF(AND($N$8=2,$N$20=2),BP46,IF(AND($N$8=2,$N$20=8),BQ46,IF(AND($N$8=1,$N$20=1),BR46,IF(AND($N$8=1,$N$20=1),BR46,IF(AND($N$8=1,$N$20=4),BS46,IF(AND($N$8=1,$N$20=5),BT46,IF(AND($N$8=1,$N$20=11),BU46,IF(AND($N$8=1,$N$20=7),BV46,IF(AND($N$8=1,$N$20=3),BW46,IF(AND($N$8=1,$N$20=6),BX46,IF(AND($N$8=1,$N$20=9),BY46,IF(AND($N$8=1,$N$20=2),BZ46,0))))))))))))))))))))</f>
        <v>0</v>
      </c>
      <c r="CB46" s="72">
        <v>111380</v>
      </c>
      <c r="CC46" s="72">
        <v>111381</v>
      </c>
      <c r="CD46" s="72">
        <v>111382</v>
      </c>
      <c r="CE46" s="72">
        <v>111383</v>
      </c>
      <c r="CF46" s="72">
        <v>111384</v>
      </c>
      <c r="CG46" s="72">
        <v>111385</v>
      </c>
      <c r="CH46" s="72">
        <v>111386</v>
      </c>
      <c r="CI46" s="72">
        <v>111387</v>
      </c>
      <c r="CJ46" s="72">
        <v>111388</v>
      </c>
      <c r="CL46" s="72">
        <v>111390</v>
      </c>
      <c r="CM46" s="72">
        <v>111391</v>
      </c>
      <c r="CN46" s="72">
        <v>111392</v>
      </c>
      <c r="CO46" s="72">
        <v>111393</v>
      </c>
      <c r="CP46" s="72">
        <v>111394</v>
      </c>
      <c r="CQ46" s="72">
        <v>111395</v>
      </c>
      <c r="CR46" s="72">
        <v>111396</v>
      </c>
      <c r="CS46" s="72">
        <v>111397</v>
      </c>
      <c r="CT46" s="72">
        <v>111398</v>
      </c>
      <c r="CU46" s="78">
        <f>IF(AND($N$8=2,$N$20=1),CB46,IF(AND($N$8=2,$N$20=4),CC46,IF(AND($N$8=2,$N$20=5),CD46,IF(AND($N$8=2,$N$20=11),CE46,IF(AND($N$8=2,$N$20=7),CF46,IF(AND($N$8=2,$N$20=3),CG46,IF(AND($N$8=2,$N$20=6),CH46,IF(AND($N$8=2,$N$20=9),CI46,IF(AND($N$8=2,$N$20=2),CJ46,IF(AND($N$8=2,$N$20=8),CK46,IF(AND($N$8=1,$N$20=1),CL46,IF(AND($N$8=1,$N$20=1),CL46,IF(AND($N$8=1,$N$20=4),CM46,IF(AND($N$8=1,$N$20=5),CN46,IF(AND($N$8=1,$N$20=11),CO46,IF(AND($N$8=1,$N$20=7),CP46,IF(AND($N$8=1,$N$20=3),CQ46,IF(AND($N$8=1,$N$20=6),CR46,IF(AND($N$8=1,$N$20=9),CS46,IF(AND($N$8=1,$N$20=2),CT46,0))))))))))))))))))))</f>
        <v>0</v>
      </c>
      <c r="CV46" s="72">
        <v>111400</v>
      </c>
      <c r="CW46" s="72">
        <v>111401</v>
      </c>
      <c r="CX46" s="72">
        <v>111402</v>
      </c>
      <c r="CY46" s="72">
        <v>111403</v>
      </c>
      <c r="CZ46" s="72">
        <v>111404</v>
      </c>
      <c r="DA46" s="72">
        <v>111405</v>
      </c>
      <c r="DB46" s="72">
        <v>111406</v>
      </c>
      <c r="DC46" s="72">
        <v>111407</v>
      </c>
      <c r="DD46" s="72">
        <v>111408</v>
      </c>
      <c r="DF46" s="72">
        <v>111410</v>
      </c>
      <c r="DG46" s="72">
        <v>111411</v>
      </c>
      <c r="DH46" s="72">
        <v>111412</v>
      </c>
      <c r="DI46" s="72">
        <v>111413</v>
      </c>
      <c r="DJ46" s="72">
        <v>111414</v>
      </c>
      <c r="DK46" s="72">
        <v>111415</v>
      </c>
      <c r="DL46" s="72">
        <v>111416</v>
      </c>
      <c r="DM46" s="72">
        <v>111417</v>
      </c>
      <c r="DN46" s="72">
        <v>111418</v>
      </c>
      <c r="DO46" s="78">
        <f>IF(AND($N$8=2,$N$20=1),CV46,IF(AND($N$8=2,$N$20=4),CW46,IF(AND($N$8=2,$N$20=5),CX46,IF(AND($N$8=2,$N$20=11),CY46,IF(AND($N$8=2,$N$20=7),CZ46,IF(AND($N$8=2,$N$20=3),DA46,IF(AND($N$8=2,$N$20=6),DB46,IF(AND($N$8=2,$N$20=9),DC46,IF(AND($N$8=2,$N$20=2),DD46,IF(AND($N$8=2,$N$20=8),DE46,IF(AND($N$8=1,$N$20=1),DF46,IF(AND($N$8=1,$N$20=1),DF46,IF(AND($N$8=1,$N$20=4),DG46,IF(AND($N$8=1,$N$20=5),DH46,IF(AND($N$8=1,$N$20=11),DI46,IF(AND($N$8=1,$N$20=7),DJ46,IF(AND($N$8=1,$N$20=3),DK46,IF(AND($N$8=1,$N$20=6),DL46,IF(AND($N$8=1,$N$20=9),DM46,IF(AND($N$8=1,$N$20=2),DN46,0))))))))))))))))))))</f>
        <v>0</v>
      </c>
      <c r="DP46" s="72">
        <v>111420</v>
      </c>
      <c r="DQ46" s="72">
        <v>111421</v>
      </c>
      <c r="DR46" s="72">
        <v>111422</v>
      </c>
      <c r="DS46" s="72">
        <v>111423</v>
      </c>
      <c r="DT46" s="72">
        <v>111424</v>
      </c>
      <c r="DU46" s="72">
        <v>111425</v>
      </c>
      <c r="DV46" s="72">
        <v>111426</v>
      </c>
      <c r="DW46" s="72">
        <v>111427</v>
      </c>
      <c r="DX46" s="72">
        <v>111428</v>
      </c>
      <c r="DZ46" s="72">
        <v>111430</v>
      </c>
      <c r="EA46" s="72">
        <v>111431</v>
      </c>
      <c r="EB46" s="72">
        <v>111432</v>
      </c>
      <c r="EC46" s="72">
        <v>111433</v>
      </c>
      <c r="ED46" s="72">
        <v>111434</v>
      </c>
      <c r="EE46" s="72">
        <v>111435</v>
      </c>
      <c r="EF46" s="72">
        <v>111436</v>
      </c>
      <c r="EG46" s="72">
        <v>111437</v>
      </c>
      <c r="EH46" s="72">
        <v>111438</v>
      </c>
      <c r="EI46" s="78">
        <f>IF(AND($N$8=2,$N$20=1),DP46,IF(AND($N$8=2,$N$20=4),DQ46,IF(AND($N$8=2,$N$20=5),DR46,IF(AND($N$8=2,$N$20=11),DS46,IF(AND($N$8=2,$N$20=7),DT46,IF(AND($N$8=2,$N$20=3),DU46,IF(AND($N$8=2,$N$20=6),DV46,IF(AND($N$8=2,$N$20=9),DW46,IF(AND($N$8=2,$N$20=2),DX46,IF(AND($N$8=2,$N$20=8),DY46,IF(AND($N$8=1,$N$20=1),DZ46,IF(AND($N$8=1,$N$20=1),DZ46,IF(AND($N$8=1,$N$20=4),EA46,IF(AND($N$8=1,$N$20=5),EB46,IF(AND($N$8=1,$N$20=11),EC46,IF(AND($N$8=1,$N$20=7),ED46,IF(AND($N$8=1,$N$20=3),EE46,IF(AND($N$8=1,$N$20=6),EF46,IF(AND($N$8=1,$N$20=9),EG46,IF(AND($N$8=1,$N$20=2),EH46,0))))))))))))))))))))</f>
        <v>0</v>
      </c>
      <c r="EJ46" s="72">
        <v>111440</v>
      </c>
      <c r="EK46" s="72">
        <v>111441</v>
      </c>
      <c r="EL46" s="72">
        <v>111442</v>
      </c>
      <c r="EM46" s="72">
        <v>111443</v>
      </c>
      <c r="EN46" s="72">
        <v>111444</v>
      </c>
      <c r="EO46" s="72">
        <v>111445</v>
      </c>
      <c r="EP46" s="72">
        <v>111446</v>
      </c>
      <c r="EQ46" s="72">
        <v>111447</v>
      </c>
      <c r="ER46" s="72">
        <v>111448</v>
      </c>
      <c r="ET46" s="72">
        <v>111450</v>
      </c>
      <c r="EU46" s="72">
        <v>111451</v>
      </c>
      <c r="EV46" s="72">
        <v>111452</v>
      </c>
      <c r="EW46" s="72">
        <v>111453</v>
      </c>
      <c r="EX46" s="72">
        <v>111454</v>
      </c>
      <c r="EY46" s="72">
        <v>111455</v>
      </c>
      <c r="EZ46" s="72">
        <v>111456</v>
      </c>
      <c r="FA46" s="72">
        <v>111457</v>
      </c>
      <c r="FB46" s="72">
        <v>111458</v>
      </c>
      <c r="FC46" s="78">
        <f>IF(AND($N$8=2,$N$20=1),EJ46,IF(AND($N$8=2,$N$20=4),EK46,IF(AND($N$8=2,$N$20=5),EL46,IF(AND($N$8=2,$N$20=11),EM46,IF(AND($N$8=2,$N$20=7),EN46,IF(AND($N$8=2,$N$20=3),EO46,IF(AND($N$8=2,$N$20=6),EP46,IF(AND($N$8=2,$N$20=9),EQ46,IF(AND($N$8=2,$N$20=2),ER46,IF(AND($N$8=2,$N$20=8),ES46,IF(AND($N$8=1,$N$20=1),ET46,IF(AND($N$8=1,$N$20=1),ET46,IF(AND($N$8=1,$N$20=4),EU46,IF(AND($N$8=1,$N$20=5),EV46,IF(AND($N$8=1,$N$20=11),EW46,IF(AND($N$8=1,$N$20=7),EX46,IF(AND($N$8=1,$N$20=3),EY46,IF(AND($N$8=1,$N$20=6),EZ46,IF(AND($N$8=1,$N$20=9),FA46,IF(AND($N$8=1,$N$20=2),FB46,0))))))))))))))))))))</f>
        <v>0</v>
      </c>
      <c r="FW46" s="78"/>
      <c r="GQ46" s="78"/>
      <c r="HK46" s="78"/>
      <c r="IE46" s="78"/>
      <c r="IY46" s="78"/>
      <c r="JS46" s="78"/>
      <c r="KM46" s="78"/>
      <c r="LG46" s="78"/>
      <c r="MA46" s="78"/>
      <c r="MU46" s="78"/>
      <c r="NO46" s="78"/>
      <c r="OI46" s="78"/>
      <c r="PC46" s="78"/>
      <c r="PW46" s="78"/>
    </row>
    <row r="47" spans="1:439" ht="32.1" customHeight="1">
      <c r="A47" s="164"/>
      <c r="B47" s="137" t="str">
        <f>VLOOKUP("Stk",Sprachindex!A:Z,Info!$O$6,FALSE)</f>
        <v>STK</v>
      </c>
      <c r="C47" s="135"/>
      <c r="D47" s="136">
        <f t="shared" ref="D47:D52" si="3">IF($N$20=1,T47,IF($N$20=4,U47,IF($N$20=5,V47,IF($N$20=11,W47,IF($N$20=7,X47,IF($N$20=3,Y47,IF($N$20=6,Z47,IF($N$20=9,AA47,IF($N$20=2,AB47,IF($N$20=8,AC47,0))))))))))</f>
        <v>0</v>
      </c>
      <c r="E47" s="264" t="str">
        <f>VLOOKUP("PREFA Einzeltritt inkl. zwei Fußteilen",Sprachindex!A:Z,Info!$O$6,FALSE)</f>
        <v>PREFA Einzeltritt inkl. zwei Fußteilen</v>
      </c>
      <c r="F47" s="265"/>
      <c r="G47" s="265"/>
      <c r="H47" s="265"/>
      <c r="I47" s="265"/>
      <c r="J47" s="265"/>
      <c r="K47" s="266"/>
      <c r="L47" s="137" t="str">
        <f t="shared" si="0"/>
        <v/>
      </c>
      <c r="M47" s="138"/>
      <c r="O47" s="1"/>
      <c r="P47" s="11"/>
      <c r="Q47" s="11" t="str">
        <f>ROUNDUP(A47/1,0)*1 &amp;" " &amp; VLOOKUP("Stk",Sprachindex!A:Z,Info!$O$6,FALSE)</f>
        <v>0 STK</v>
      </c>
      <c r="T47" s="72">
        <v>120070</v>
      </c>
      <c r="U47" s="72">
        <v>120071</v>
      </c>
      <c r="V47" s="72">
        <v>120072</v>
      </c>
      <c r="W47" s="72">
        <v>120073</v>
      </c>
      <c r="X47" s="72">
        <v>120074</v>
      </c>
      <c r="Y47" s="72">
        <v>120075</v>
      </c>
      <c r="Z47" s="72">
        <v>120076</v>
      </c>
      <c r="AA47" s="72">
        <v>120077</v>
      </c>
      <c r="AB47" s="72">
        <v>120078</v>
      </c>
      <c r="AC47" s="72">
        <v>649020</v>
      </c>
    </row>
    <row r="48" spans="1:439" ht="32.1" customHeight="1">
      <c r="A48" s="164"/>
      <c r="B48" s="137" t="str">
        <f>VLOOKUP("Stk",Sprachindex!A:Z,Info!$O$6,FALSE)</f>
        <v>STK</v>
      </c>
      <c r="C48" s="135"/>
      <c r="D48" s="136">
        <f t="shared" si="3"/>
        <v>0</v>
      </c>
      <c r="E48" s="264" t="str">
        <f>VLOOKUP("PREFA Laufstegstütze verzinkt für Laufstege",Sprachindex!A:Z,Info!$O$6,FALSE)</f>
        <v>PREFA Laufstegstütze verzinkt für Laufstege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38"/>
      <c r="O48" s="1"/>
      <c r="P48" s="11"/>
      <c r="Q48" s="11" t="str">
        <f>ROUNDUP(A48/1,0)*1 &amp;" " &amp; VLOOKUP("Stk",Sprachindex!A:Z,Info!$O$6,FALSE)</f>
        <v>0 STK</v>
      </c>
      <c r="T48" s="72">
        <v>120040</v>
      </c>
      <c r="U48" s="72">
        <v>120041</v>
      </c>
      <c r="V48" s="72">
        <v>120042</v>
      </c>
      <c r="W48" s="72">
        <v>120043</v>
      </c>
      <c r="X48" s="72">
        <v>120044</v>
      </c>
      <c r="Y48" s="72">
        <v>120045</v>
      </c>
      <c r="Z48" s="72">
        <v>120046</v>
      </c>
      <c r="AA48" s="72">
        <v>120047</v>
      </c>
      <c r="AB48" s="72">
        <v>120048</v>
      </c>
      <c r="AC48" s="72">
        <v>649220</v>
      </c>
    </row>
    <row r="49" spans="1:39" ht="32.1" customHeight="1">
      <c r="A49" s="164"/>
      <c r="B49" s="137" t="str">
        <f>VLOOKUP("Stk",Sprachindex!A:Z,Info!$O$6,FALSE)</f>
        <v>STK</v>
      </c>
      <c r="C49" s="135"/>
      <c r="D49" s="136">
        <f t="shared" si="3"/>
        <v>0</v>
      </c>
      <c r="E49" s="264" t="str">
        <f>VLOOKUP("PREFA Laufsteg (250 x 1.200 mm)",Sprachindex!A:Z,Info!$O$6,FALSE)</f>
        <v>PREFA Laufsteg (250 x 1.200 mm)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38"/>
      <c r="O49" s="1"/>
      <c r="P49" s="11"/>
      <c r="Q49" s="11" t="str">
        <f>ROUNDUP(A49/1,0)*1 &amp;" " &amp; VLOOKUP("Stk",Sprachindex!A:Z,Info!$O$6,FALSE)</f>
        <v>0 STK</v>
      </c>
      <c r="T49" s="72">
        <v>120030</v>
      </c>
      <c r="U49" s="72">
        <v>120031</v>
      </c>
      <c r="V49" s="72">
        <v>120032</v>
      </c>
      <c r="W49" s="72">
        <v>120033</v>
      </c>
      <c r="X49" s="72">
        <v>120034</v>
      </c>
      <c r="Y49" s="72">
        <v>120035</v>
      </c>
      <c r="Z49" s="72">
        <v>120036</v>
      </c>
      <c r="AA49" s="72">
        <v>120037</v>
      </c>
      <c r="AB49" s="72">
        <v>120038</v>
      </c>
      <c r="AC49" s="72">
        <v>649221</v>
      </c>
    </row>
    <row r="50" spans="1:39" ht="32.1" customHeight="1">
      <c r="A50" s="164"/>
      <c r="B50" s="137" t="str">
        <f>VLOOKUP("Stk",Sprachindex!A:Z,Info!$O$6,FALSE)</f>
        <v>STK</v>
      </c>
      <c r="C50" s="135"/>
      <c r="D50" s="136">
        <f t="shared" si="3"/>
        <v>0</v>
      </c>
      <c r="E50" s="264" t="str">
        <f>VLOOKUP("PREFA Laufsteg (250 x 800 mm)",Sprachindex!A:Z,Info!$O$6,FALSE)</f>
        <v>PREFA Laufsteg (250 x 800 mm)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38"/>
      <c r="O50" s="1"/>
      <c r="P50" s="11"/>
      <c r="Q50" s="11" t="str">
        <f>ROUNDUP(A50/1,0)*1 &amp;" " &amp; VLOOKUP("Stk",Sprachindex!A:Z,Info!$O$6,FALSE)</f>
        <v>0 STK</v>
      </c>
      <c r="T50" s="72">
        <v>120020</v>
      </c>
      <c r="U50" s="72">
        <v>120021</v>
      </c>
      <c r="V50" s="72">
        <v>120022</v>
      </c>
      <c r="W50" s="72">
        <v>120023</v>
      </c>
      <c r="X50" s="72">
        <v>120024</v>
      </c>
      <c r="Y50" s="72">
        <v>120025</v>
      </c>
      <c r="Z50" s="72">
        <v>120026</v>
      </c>
      <c r="AA50" s="72">
        <v>120027</v>
      </c>
      <c r="AB50" s="72">
        <v>120028</v>
      </c>
      <c r="AC50" s="72">
        <v>649050</v>
      </c>
    </row>
    <row r="51" spans="1:39" ht="32.1" customHeight="1">
      <c r="A51" s="164"/>
      <c r="B51" s="137" t="str">
        <f>VLOOKUP("Stk",Sprachindex!A:Z,Info!$O$6,FALSE)</f>
        <v>STK</v>
      </c>
      <c r="C51" s="135"/>
      <c r="D51" s="136">
        <f t="shared" si="3"/>
        <v>0</v>
      </c>
      <c r="E51" s="264" t="str">
        <f>VLOOKUP("PREFA Laufsteg (250 x 600 mm)",Sprachindex!A:Z,Info!$O$6,FALSE)</f>
        <v>PREFA Laufsteg (250 x 600 mm)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38"/>
      <c r="O51" s="1"/>
      <c r="P51" s="11"/>
      <c r="Q51" s="11" t="str">
        <f>ROUNDUP(A51/1,0)*1 &amp;" " &amp; VLOOKUP("Stk",Sprachindex!A:Z,Info!$O$6,FALSE)</f>
        <v>0 STK</v>
      </c>
      <c r="T51" s="72">
        <v>120060</v>
      </c>
      <c r="U51" s="72">
        <v>120061</v>
      </c>
      <c r="V51" s="72">
        <v>120062</v>
      </c>
      <c r="W51" s="72">
        <v>120063</v>
      </c>
      <c r="X51" s="72">
        <v>120064</v>
      </c>
      <c r="Y51" s="72">
        <v>120065</v>
      </c>
      <c r="Z51" s="72">
        <v>120066</v>
      </c>
      <c r="AA51" s="72">
        <v>120067</v>
      </c>
      <c r="AB51" s="72">
        <v>120068</v>
      </c>
      <c r="AC51" s="72">
        <v>649070</v>
      </c>
    </row>
    <row r="52" spans="1:39" ht="32.1" customHeight="1">
      <c r="A52" s="164"/>
      <c r="B52" s="137" t="str">
        <f>VLOOKUP("Stk",Sprachindex!A:Z,Info!$O$6,FALSE)</f>
        <v>STK</v>
      </c>
      <c r="C52" s="135"/>
      <c r="D52" s="136">
        <f t="shared" si="3"/>
        <v>0</v>
      </c>
      <c r="E52" s="264" t="str">
        <f>VLOOKUP("PREFA Laufsteg (250 x 420 mm)",Sprachindex!A:Z,Info!$O$6,FALSE)</f>
        <v>PREFA Laufsteg (250 x 420 mm)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38"/>
      <c r="O52" s="1"/>
      <c r="P52" s="11"/>
      <c r="Q52" s="11" t="str">
        <f>ROUNDUP(A52/1,0)*1 &amp;" " &amp; VLOOKUP("Stk",Sprachindex!A:Z,Info!$O$6,FALSE)</f>
        <v>0 STK</v>
      </c>
      <c r="T52" s="72">
        <v>120010</v>
      </c>
      <c r="U52" s="72">
        <v>120011</v>
      </c>
      <c r="V52" s="72">
        <v>120012</v>
      </c>
      <c r="W52" s="72">
        <v>120013</v>
      </c>
      <c r="X52" s="72">
        <v>120014</v>
      </c>
      <c r="Y52" s="72">
        <v>120015</v>
      </c>
      <c r="Z52" s="72">
        <v>120016</v>
      </c>
      <c r="AA52" s="72">
        <v>120017</v>
      </c>
      <c r="AB52" s="72">
        <v>120018</v>
      </c>
      <c r="AC52" s="72">
        <v>649030</v>
      </c>
    </row>
    <row r="53" spans="1:39" ht="32.1" customHeight="1">
      <c r="A53" s="164"/>
      <c r="B53" s="137" t="str">
        <f>VLOOKUP("Stk",Sprachindex!A:Z,Info!$O$6,FALSE)</f>
        <v>STK</v>
      </c>
      <c r="C53" s="135"/>
      <c r="D53" s="142">
        <v>649001</v>
      </c>
      <c r="E53" s="264" t="str">
        <f>VLOOKUP("PREFA Verbinder verzinkt für Laufsteg",Sprachindex!A:Z,Info!$O$6,FALSE)</f>
        <v>PREFA Verbinder verzinkt für Laufsteg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38"/>
      <c r="O53" s="1"/>
      <c r="P53" s="11"/>
      <c r="Q53" s="11" t="str">
        <f>ROUNDUP(A53/1,0)*1 &amp;" " &amp; VLOOKUP("Stk",Sprachindex!A:Z,Info!$O$6,FALSE)</f>
        <v>0 STK</v>
      </c>
      <c r="T53" s="75" t="s">
        <v>1554</v>
      </c>
      <c r="U53" s="75" t="s">
        <v>1555</v>
      </c>
      <c r="V53" s="75" t="s">
        <v>1556</v>
      </c>
      <c r="W53" s="75" t="s">
        <v>1557</v>
      </c>
      <c r="X53" s="75" t="s">
        <v>1558</v>
      </c>
      <c r="Y53" s="75" t="s">
        <v>1559</v>
      </c>
      <c r="Z53" s="75" t="s">
        <v>1560</v>
      </c>
      <c r="AA53" s="75" t="s">
        <v>1561</v>
      </c>
      <c r="AB53" s="75" t="s">
        <v>1562</v>
      </c>
      <c r="AC53" s="75" t="s">
        <v>1563</v>
      </c>
      <c r="AD53" s="75" t="s">
        <v>1554</v>
      </c>
      <c r="AE53" s="75" t="s">
        <v>1555</v>
      </c>
      <c r="AF53" s="75" t="s">
        <v>1556</v>
      </c>
      <c r="AG53" s="75" t="s">
        <v>1557</v>
      </c>
      <c r="AH53" s="75" t="s">
        <v>1558</v>
      </c>
      <c r="AI53" s="75" t="s">
        <v>1559</v>
      </c>
      <c r="AJ53" s="75" t="s">
        <v>1560</v>
      </c>
      <c r="AK53" s="75" t="s">
        <v>1561</v>
      </c>
      <c r="AL53" s="75" t="s">
        <v>1562</v>
      </c>
      <c r="AM53" s="75" t="s">
        <v>1563</v>
      </c>
    </row>
    <row r="54" spans="1:39" ht="32.1" customHeight="1">
      <c r="A54" s="164"/>
      <c r="B54" s="137" t="str">
        <f>VLOOKUP("Stk",Sprachindex!A:Z,Info!$O$6,FALSE)</f>
        <v>STK</v>
      </c>
      <c r="C54" s="146"/>
      <c r="D54" s="142">
        <v>635661</v>
      </c>
      <c r="E54" s="264" t="str">
        <f>VLOOKUP("PREFA Dach-Sicherheitshaken nach EN 517B auf Fussteilen",Sprachindex!A:Z,Info!$O$6,FALSE)</f>
        <v>PREFA Dach-Sicherheitshaken nach EN 517B auf Fussteilen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47"/>
      <c r="O54" s="1"/>
      <c r="P54" s="11"/>
      <c r="Q54" s="11" t="str">
        <f>ROUNDUP(A54/1,0)*1 &amp;" " &amp; VLOOKUP("Stk",Sprachindex!A:Z,Info!$O$6,FALSE)</f>
        <v>0 STK</v>
      </c>
    </row>
    <row r="55" spans="1:39" ht="32.1" customHeight="1">
      <c r="A55" s="164"/>
      <c r="B55" s="137" t="str">
        <f>VLOOKUP("Stk",Sprachindex!A:Z,Info!$O$6,FALSE)</f>
        <v>STK</v>
      </c>
      <c r="C55" s="146"/>
      <c r="D55" s="136">
        <f>IF($N$20=1,T55,IF($N$20=4,U55,IF($N$20=5,V55,IF($N$20=11,W55,IF($N$20=7,X55,IF($N$20=3,Y55,IF($N$20=6,Z55,IF($N$20=9,AA55,IF($N$20=2,AB55,IF($N$20=8,AC55,0))))))))))</f>
        <v>0</v>
      </c>
      <c r="E55" s="264" t="str">
        <f>VLOOKUP("PREFA Dach-Sicherheitshaken nach EN 517B",Sprachindex!A:Z,Info!$O$6,FALSE)</f>
        <v>PREFA Dach-Sicherheitshaken nach EN 517B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47"/>
      <c r="O55" s="1"/>
      <c r="P55" s="11"/>
      <c r="Q55" s="11" t="str">
        <f>ROUNDUP(A55/1,0)*1 &amp;" " &amp; VLOOKUP("Stk",Sprachindex!A:Z,Info!$O$6,FALSE)</f>
        <v>0 STK</v>
      </c>
      <c r="T55" s="72">
        <v>120000</v>
      </c>
      <c r="U55" s="72">
        <v>120001</v>
      </c>
      <c r="V55" s="72">
        <v>120002</v>
      </c>
      <c r="W55" s="72">
        <v>120003</v>
      </c>
      <c r="X55" s="72">
        <v>120004</v>
      </c>
      <c r="Y55" s="72">
        <v>120005</v>
      </c>
      <c r="Z55" s="72">
        <v>120006</v>
      </c>
      <c r="AA55" s="72">
        <v>120007</v>
      </c>
      <c r="AB55" s="72">
        <v>120008</v>
      </c>
      <c r="AC55" s="72">
        <v>635550</v>
      </c>
    </row>
    <row r="56" spans="1:39" ht="32.1" customHeight="1">
      <c r="A56" s="164"/>
      <c r="B56" s="137" t="str">
        <f>VLOOKUP("Stk",Sprachindex!A:Z,Info!$O$6,FALSE)</f>
        <v>STK</v>
      </c>
      <c r="C56" s="146"/>
      <c r="D56" s="136">
        <f>IF($N$20=1,T56,IF($N$20=4,U56,IF($N$20=5,V56,IF($N$20=11,W56,IF($N$20=7,X56,IF($N$20=3,Y56,IF($N$20=6,Z56,IF($N$20=9,AA56,IF($N$20=2,AB56,IF($N$20=8,AC56,0))))))))))</f>
        <v>0</v>
      </c>
      <c r="E56" s="264" t="str">
        <f>VLOOKUP("PREFA Einfassungsplatte für Dachschindel",Sprachindex!A:Z,Info!$O$6,FALSE)</f>
        <v>PREFA Einfassungsplatte für Dachschindel</v>
      </c>
      <c r="F56" s="265"/>
      <c r="G56" s="265"/>
      <c r="H56" s="265"/>
      <c r="I56" s="265"/>
      <c r="J56" s="265"/>
      <c r="K56" s="266"/>
      <c r="L56" s="137" t="str">
        <f t="shared" ref="L56:L83" si="4">IF(A56=0,"",IF($N$10=1,P56,Q56))</f>
        <v/>
      </c>
      <c r="M56" s="147"/>
      <c r="O56" s="1"/>
      <c r="P56" s="11"/>
      <c r="Q56" s="11" t="str">
        <f>ROUNDUP(A56/1,0)*1 &amp;" " &amp; VLOOKUP("Stk",Sprachindex!A:Z,Info!$O$6,FALSE)</f>
        <v>0 STK</v>
      </c>
      <c r="T56" s="72">
        <v>110230</v>
      </c>
      <c r="U56" s="72">
        <v>110231</v>
      </c>
      <c r="V56" s="72">
        <v>110232</v>
      </c>
      <c r="W56" s="72">
        <v>110233</v>
      </c>
      <c r="X56" s="72">
        <v>110234</v>
      </c>
      <c r="Y56" s="72">
        <v>110235</v>
      </c>
      <c r="Z56" s="72">
        <v>110236</v>
      </c>
      <c r="AA56" s="72">
        <v>110237</v>
      </c>
      <c r="AB56" s="72">
        <v>110238</v>
      </c>
    </row>
    <row r="57" spans="1:39" ht="32.1" customHeight="1">
      <c r="A57" s="164"/>
      <c r="B57" s="137" t="str">
        <f>VLOOKUP("Stk",Sprachindex!A:Z,Info!$O$6,FALSE)</f>
        <v>STK</v>
      </c>
      <c r="C57" s="146"/>
      <c r="D57" s="136">
        <f t="shared" ref="D57:D60" si="5">IF($N$20=1,T57,IF($N$20=4,U57,IF($N$20=5,V57,IF($N$20=11,W57,IF($N$20=7,X57,IF($N$20=3,Y57,IF($N$20=6,Z57,IF($N$20=9,AA57,IF($N$20=2,AB57,IF($N$20=8,AC57,0))))))))))</f>
        <v>0</v>
      </c>
      <c r="E57" s="264" t="str">
        <f>VLOOKUP("PREFA Universaleinfassung 2-teilig, glatt, Ø 40 - 120 mm",Sprachindex!A:Z,Info!$O$6,FALSE)</f>
        <v>PREFA Universaleinfassung 2-teilig, glatt, Ø 40 - 120 mm</v>
      </c>
      <c r="F57" s="265"/>
      <c r="G57" s="265"/>
      <c r="H57" s="265"/>
      <c r="I57" s="265"/>
      <c r="J57" s="265"/>
      <c r="K57" s="266"/>
      <c r="L57" s="137" t="str">
        <f t="shared" si="4"/>
        <v/>
      </c>
      <c r="M57" s="147"/>
      <c r="O57" s="1"/>
      <c r="P57" s="11"/>
      <c r="Q57" s="11" t="str">
        <f>ROUNDUP(A57/1,0)*1 &amp;" " &amp; VLOOKUP("Stk",Sprachindex!A:Z,Info!$O$6,FALSE)</f>
        <v>0 STK</v>
      </c>
      <c r="T57" s="72">
        <v>110240</v>
      </c>
      <c r="U57" s="72">
        <v>110241</v>
      </c>
      <c r="V57" s="72">
        <v>110242</v>
      </c>
      <c r="W57" s="72">
        <v>110243</v>
      </c>
      <c r="X57" s="72">
        <v>110244</v>
      </c>
      <c r="Y57" s="72">
        <v>110245</v>
      </c>
      <c r="Z57" s="72">
        <v>110246</v>
      </c>
      <c r="AA57" s="72">
        <v>110247</v>
      </c>
      <c r="AB57" s="72">
        <v>110248</v>
      </c>
      <c r="AC57" s="72">
        <v>513032</v>
      </c>
    </row>
    <row r="58" spans="1:39" ht="32.1" customHeight="1">
      <c r="A58" s="164"/>
      <c r="B58" s="137" t="str">
        <f>VLOOKUP("Stk",Sprachindex!A:Z,Info!$O$6,FALSE)</f>
        <v>STK</v>
      </c>
      <c r="C58" s="146"/>
      <c r="D58" s="136">
        <f t="shared" si="5"/>
        <v>0</v>
      </c>
      <c r="E58" s="264" t="str">
        <f>VLOOKUP("PREFA Entlüftungshaube Ø 100, glatt",Sprachindex!A:Z,Info!$O$6,FALSE)</f>
        <v>PREFA Entlüftungshaube Ø 100, glatt</v>
      </c>
      <c r="F58" s="265"/>
      <c r="G58" s="265"/>
      <c r="H58" s="265"/>
      <c r="I58" s="265"/>
      <c r="J58" s="265"/>
      <c r="K58" s="266"/>
      <c r="L58" s="137" t="str">
        <f t="shared" si="4"/>
        <v/>
      </c>
      <c r="M58" s="147"/>
      <c r="O58" s="1"/>
      <c r="P58" s="11"/>
      <c r="Q58" s="11" t="str">
        <f>ROUNDUP(A58/1,0)*1 &amp;" " &amp; VLOOKUP("Stk",Sprachindex!A:Z,Info!$O$6,FALSE)</f>
        <v>0 STK</v>
      </c>
      <c r="T58" s="72">
        <v>110280</v>
      </c>
      <c r="U58" s="72">
        <v>110281</v>
      </c>
      <c r="V58" s="72">
        <v>110282</v>
      </c>
      <c r="W58" s="72">
        <v>110283</v>
      </c>
      <c r="X58" s="72">
        <v>110284</v>
      </c>
      <c r="Y58" s="72">
        <v>110285</v>
      </c>
      <c r="Z58" s="72">
        <v>110286</v>
      </c>
      <c r="AA58" s="72">
        <v>110287</v>
      </c>
      <c r="AB58" s="72">
        <v>110288</v>
      </c>
      <c r="AC58" s="72">
        <v>513006</v>
      </c>
    </row>
    <row r="59" spans="1:39" ht="32.1" customHeight="1">
      <c r="A59" s="164"/>
      <c r="B59" s="137" t="str">
        <f>VLOOKUP("Stk",Sprachindex!A:Z,Info!$O$6,FALSE)</f>
        <v>STK</v>
      </c>
      <c r="C59" s="146"/>
      <c r="D59" s="136">
        <f t="shared" si="5"/>
        <v>0</v>
      </c>
      <c r="E59" s="264" t="str">
        <f>VLOOKUP("PREFA Entlüftungsrohr ⌀ 100, passend für HT-Rohr NW 110",Sprachindex!A:Z,Info!$O$6,FALSE)</f>
        <v>PREFA Entlüftungsrohr ⌀ 100, passend für HT-Rohr NW 110</v>
      </c>
      <c r="F59" s="265"/>
      <c r="G59" s="265"/>
      <c r="H59" s="265"/>
      <c r="I59" s="265"/>
      <c r="J59" s="265"/>
      <c r="K59" s="266"/>
      <c r="L59" s="137" t="str">
        <f t="shared" si="4"/>
        <v/>
      </c>
      <c r="M59" s="147"/>
      <c r="O59" s="1"/>
      <c r="P59" s="11"/>
      <c r="Q59" s="11" t="str">
        <f>ROUNDUP(A59/1,0)*1 &amp;" " &amp; VLOOKUP("Stk",Sprachindex!A:Z,Info!$O$6,FALSE)</f>
        <v>0 STK</v>
      </c>
      <c r="T59" s="72">
        <v>110200</v>
      </c>
      <c r="U59" s="72">
        <v>110201</v>
      </c>
      <c r="V59" s="72">
        <v>110202</v>
      </c>
      <c r="W59" s="72">
        <v>110203</v>
      </c>
      <c r="X59" s="72">
        <v>110204</v>
      </c>
      <c r="Y59" s="72">
        <v>110205</v>
      </c>
      <c r="Z59" s="72">
        <v>110206</v>
      </c>
      <c r="AA59" s="72">
        <v>110207</v>
      </c>
      <c r="AB59" s="72">
        <v>110208</v>
      </c>
      <c r="AC59" s="72">
        <v>513029</v>
      </c>
    </row>
    <row r="60" spans="1:39" ht="32.1" customHeight="1">
      <c r="A60" s="164"/>
      <c r="B60" s="137" t="str">
        <f>VLOOKUP("Stk",Sprachindex!A:Z,Info!$O$6,FALSE)</f>
        <v>STK</v>
      </c>
      <c r="C60" s="146"/>
      <c r="D60" s="136">
        <f t="shared" si="5"/>
        <v>0</v>
      </c>
      <c r="E60" s="264" t="str">
        <f>VLOOKUP("PREFA Entlüftungsrohr ⌀ 120, passend für HT-Rohr NW 125",Sprachindex!A:Z,Info!$O$6,FALSE)</f>
        <v>PREFA Entlüftungsrohr ⌀ 120, passend für HT-Rohr NW 125</v>
      </c>
      <c r="F60" s="265"/>
      <c r="G60" s="265"/>
      <c r="H60" s="265"/>
      <c r="I60" s="265"/>
      <c r="J60" s="265"/>
      <c r="K60" s="266"/>
      <c r="L60" s="137" t="str">
        <f t="shared" si="4"/>
        <v/>
      </c>
      <c r="M60" s="147"/>
      <c r="O60" s="1"/>
      <c r="P60" s="11"/>
      <c r="Q60" s="11" t="str">
        <f>ROUNDUP(A60/1,0)*1 &amp;" " &amp; VLOOKUP("Stk",Sprachindex!A:Z,Info!$O$6,FALSE)</f>
        <v>0 STK</v>
      </c>
      <c r="T60" s="72">
        <v>110210</v>
      </c>
      <c r="U60" s="72">
        <v>110211</v>
      </c>
      <c r="V60" s="72">
        <v>110212</v>
      </c>
      <c r="W60" s="72">
        <v>110213</v>
      </c>
      <c r="X60" s="72">
        <v>110214</v>
      </c>
      <c r="Y60" s="72">
        <v>110215</v>
      </c>
      <c r="Z60" s="72">
        <v>110216</v>
      </c>
      <c r="AA60" s="72">
        <v>110217</v>
      </c>
      <c r="AB60" s="72">
        <v>110218</v>
      </c>
      <c r="AC60" s="72">
        <v>513083</v>
      </c>
    </row>
    <row r="61" spans="1:39" ht="32.1" customHeight="1">
      <c r="A61" s="164"/>
      <c r="B61" s="137" t="str">
        <f>VLOOKUP("Stk",Sprachindex!A:Z,Info!$O$6,FALSE)</f>
        <v>STK</v>
      </c>
      <c r="C61" s="146"/>
      <c r="D61" s="142">
        <v>340943</v>
      </c>
      <c r="E61" s="264" t="str">
        <f>VLOOKUP("PREFA Faltmanschette Ø 100-130",Sprachindex!A:Z,Info!$O$6,FALSE)</f>
        <v>PREFA Faltmanschette Ø 100-130</v>
      </c>
      <c r="F61" s="265"/>
      <c r="G61" s="265"/>
      <c r="H61" s="265"/>
      <c r="I61" s="265"/>
      <c r="J61" s="265"/>
      <c r="K61" s="266"/>
      <c r="L61" s="137" t="str">
        <f t="shared" si="4"/>
        <v/>
      </c>
      <c r="M61" s="147"/>
      <c r="O61" s="1"/>
      <c r="P61" s="11"/>
      <c r="Q61" s="11" t="str">
        <f>ROUNDUP(A61/1,0)*1 &amp;" " &amp; VLOOKUP("Stk",Sprachindex!A:Z,Info!$O$6,FALSE)</f>
        <v>0 STK</v>
      </c>
      <c r="T61" s="75" t="s">
        <v>1554</v>
      </c>
      <c r="U61" s="75" t="s">
        <v>1555</v>
      </c>
      <c r="V61" s="75" t="s">
        <v>1556</v>
      </c>
      <c r="W61" s="75" t="s">
        <v>1557</v>
      </c>
      <c r="X61" s="75" t="s">
        <v>1558</v>
      </c>
      <c r="Y61" s="75" t="s">
        <v>1559</v>
      </c>
      <c r="Z61" s="75" t="s">
        <v>1560</v>
      </c>
      <c r="AA61" s="75" t="s">
        <v>1561</v>
      </c>
      <c r="AB61" s="75" t="s">
        <v>1562</v>
      </c>
      <c r="AC61" s="75" t="s">
        <v>1563</v>
      </c>
      <c r="AD61" s="75" t="s">
        <v>1554</v>
      </c>
      <c r="AE61" s="75" t="s">
        <v>1555</v>
      </c>
      <c r="AF61" s="75" t="s">
        <v>1556</v>
      </c>
      <c r="AG61" s="75" t="s">
        <v>1557</v>
      </c>
      <c r="AH61" s="75" t="s">
        <v>1558</v>
      </c>
      <c r="AI61" s="75" t="s">
        <v>1559</v>
      </c>
      <c r="AJ61" s="75" t="s">
        <v>1560</v>
      </c>
      <c r="AK61" s="75" t="s">
        <v>1561</v>
      </c>
      <c r="AL61" s="75" t="s">
        <v>1562</v>
      </c>
      <c r="AM61" s="75" t="s">
        <v>1563</v>
      </c>
    </row>
    <row r="62" spans="1:39" ht="32.1" customHeight="1">
      <c r="A62" s="164"/>
      <c r="B62" s="137" t="str">
        <f>VLOOKUP("Stk",Sprachindex!A:Z,Info!$O$6,FALSE)</f>
        <v>STK</v>
      </c>
      <c r="C62" s="146"/>
      <c r="D62" s="136">
        <f t="shared" ref="D62" si="6">IF(AND($N$8=2,$N$20=1),T62,IF(AND($N$8=2,$N$20=4),U62,IF(AND($N$8=2,$N$20=5),V62,IF(AND($N$8=2,$N$20=11),W62,IF(AND($N$8=2,$N$20=7),X62,IF(AND($N$8=2,$N$20=3),Y62,IF(AND($N$8=2,$N$20=6),Z62,IF(AND($N$8=2,$N$20=9),AA62,IF(AND($N$8=2,$N$20=2),AB62,IF(AND($N$8=2,$N$20=8),AC62,IF(AND($N$8=1,$N$20=1),AD62,IF(AND($N$8=1,$N$20=1),AD62,IF(AND($N$8=1,$N$20=4),AE62,IF(AND($N$8=1,$N$20=5),AF62,IF(AND($N$8=1,$N$20=11),AG62,IF(AND($N$8=1,$N$20=7),AH62,IF(AND($N$8=1,$N$20=3),AI62,IF(AND($N$8=1,$N$20=6),AJ62,IF(AND($N$8=1,$N$20=9),AK62,IF(AND($N$8=1,$N$20=2),AL62,IF(AND($N$8=1,$N$20=8),AM62,0)))))))))))))))))))))</f>
        <v>0</v>
      </c>
      <c r="E62" s="264" t="str">
        <f>VLOOKUP("PREFA Unterlagsplatte L=540 x B=125 mm, stucco",Sprachindex!A:Z,Info!$O$6,FALSE)</f>
        <v>PREFA Unterlagsplatte L=540 x B=125 mm, stucco</v>
      </c>
      <c r="F62" s="265"/>
      <c r="G62" s="265"/>
      <c r="H62" s="265"/>
      <c r="I62" s="265"/>
      <c r="J62" s="265"/>
      <c r="K62" s="266"/>
      <c r="L62" s="137" t="str">
        <f t="shared" si="4"/>
        <v/>
      </c>
      <c r="M62" s="147"/>
      <c r="O62" s="1"/>
      <c r="P62" s="11"/>
      <c r="Q62" s="11" t="str">
        <f>ROUNDUP(A62/1,0)*1 &amp;" " &amp; VLOOKUP("Stk",Sprachindex!A:Z,Info!$O$6,FALSE)</f>
        <v>0 STK</v>
      </c>
      <c r="T62" s="72">
        <v>110360</v>
      </c>
      <c r="U62" s="72">
        <v>110361</v>
      </c>
      <c r="V62" s="72">
        <v>110362</v>
      </c>
      <c r="W62" s="72">
        <v>110363</v>
      </c>
      <c r="X62" s="72">
        <v>110364</v>
      </c>
      <c r="Y62" s="72">
        <v>110365</v>
      </c>
      <c r="Z62" s="72">
        <v>110366</v>
      </c>
      <c r="AA62" s="72">
        <v>110367</v>
      </c>
      <c r="AB62" s="72">
        <v>110368</v>
      </c>
      <c r="AD62" s="72">
        <v>110370</v>
      </c>
      <c r="AE62" s="72">
        <v>110371</v>
      </c>
      <c r="AF62" s="72">
        <v>110372</v>
      </c>
      <c r="AG62" s="72">
        <v>110373</v>
      </c>
      <c r="AH62" s="72">
        <v>110374</v>
      </c>
      <c r="AI62" s="72">
        <v>110375</v>
      </c>
      <c r="AJ62" s="72">
        <v>110376</v>
      </c>
      <c r="AK62" s="72">
        <v>110377</v>
      </c>
      <c r="AL62" s="72">
        <v>110378</v>
      </c>
    </row>
    <row r="63" spans="1:39" ht="32.1" customHeight="1">
      <c r="A63" s="164"/>
      <c r="B63" s="137" t="str">
        <f>VLOOKUP("Stk",Sprachindex!A:Z,Info!$O$6,FALSE)</f>
        <v>STK</v>
      </c>
      <c r="C63" s="146"/>
      <c r="D63" s="136">
        <f t="shared" ref="D63:D79" si="7">IF($N$20=1,T63,IF($N$20=4,U63,IF($N$20=5,V63,IF($N$20=11,W63,IF($N$20=7,X63,IF($N$20=3,Y63,IF($N$20=6,Z63,IF($N$20=9,AA63,IF($N$20=2,AB63,IF($N$20=8,AC63,0))))))))))</f>
        <v>0</v>
      </c>
      <c r="E63" s="264" t="str">
        <f>VLOOKUP("PREFA Schneestopper für Dachschindel",Sprachindex!A:Z,Info!$O$6,FALSE)</f>
        <v>PREFA Schneestopper für Dachschindel</v>
      </c>
      <c r="F63" s="265"/>
      <c r="G63" s="265"/>
      <c r="H63" s="265"/>
      <c r="I63" s="265"/>
      <c r="J63" s="265"/>
      <c r="K63" s="266"/>
      <c r="L63" s="137" t="str">
        <f t="shared" si="4"/>
        <v/>
      </c>
      <c r="M63" s="147"/>
      <c r="O63" s="1"/>
      <c r="P63" s="11"/>
      <c r="Q63" s="11" t="str">
        <f>ROUNDUP(A63/1,0)*1 &amp;" " &amp; VLOOKUP("Stk",Sprachindex!A:Z,Info!$O$6,FALSE)</f>
        <v>0 STK</v>
      </c>
      <c r="T63" s="72">
        <v>110310</v>
      </c>
      <c r="U63" s="72">
        <v>110311</v>
      </c>
      <c r="V63" s="72">
        <v>110312</v>
      </c>
      <c r="W63" s="72">
        <v>110313</v>
      </c>
      <c r="X63" s="72">
        <v>110314</v>
      </c>
      <c r="Y63" s="72">
        <v>110315</v>
      </c>
      <c r="Z63" s="72">
        <v>110316</v>
      </c>
      <c r="AA63" s="72">
        <v>110317</v>
      </c>
      <c r="AB63" s="72">
        <v>110318</v>
      </c>
      <c r="AC63" s="72">
        <v>516037</v>
      </c>
    </row>
    <row r="64" spans="1:39" ht="32.1" customHeight="1">
      <c r="A64" s="164"/>
      <c r="B64" s="137" t="str">
        <f>VLOOKUP("Stk",Sprachindex!A:Z,Info!$O$6,FALSE)</f>
        <v>STK</v>
      </c>
      <c r="C64" s="146"/>
      <c r="D64" s="136">
        <f t="shared" si="7"/>
        <v>0</v>
      </c>
      <c r="E64" s="264" t="str">
        <f>VLOOKUP("PREFA Schneerechenhaken",Sprachindex!A:Z,Info!$O$6,FALSE)</f>
        <v>PREFA Schneerechenhaken</v>
      </c>
      <c r="F64" s="265"/>
      <c r="G64" s="265"/>
      <c r="H64" s="265"/>
      <c r="I64" s="265"/>
      <c r="J64" s="265"/>
      <c r="K64" s="266"/>
      <c r="L64" s="137" t="str">
        <f t="shared" si="4"/>
        <v/>
      </c>
      <c r="M64" s="147"/>
      <c r="O64" s="1"/>
      <c r="P64" s="11"/>
      <c r="Q64" s="11" t="str">
        <f>ROUNDUP(A64/1,0)*1 &amp;" " &amp; VLOOKUP("Stk",Sprachindex!A:Z,Info!$O$6,FALSE)</f>
        <v>0 STK</v>
      </c>
      <c r="T64" s="72">
        <v>120130</v>
      </c>
      <c r="U64" s="72">
        <v>120131</v>
      </c>
      <c r="V64" s="72">
        <v>120132</v>
      </c>
      <c r="W64" s="72">
        <v>120133</v>
      </c>
      <c r="X64" s="72">
        <v>120134</v>
      </c>
      <c r="Y64" s="72">
        <v>120135</v>
      </c>
      <c r="Z64" s="72">
        <v>120136</v>
      </c>
      <c r="AA64" s="72">
        <v>120137</v>
      </c>
      <c r="AB64" s="72">
        <v>120138</v>
      </c>
      <c r="AC64" s="72">
        <v>515006</v>
      </c>
    </row>
    <row r="65" spans="1:29" ht="32.1" customHeight="1">
      <c r="A65" s="164"/>
      <c r="B65" s="137" t="str">
        <f>VLOOKUP("lfm",Sprachindex!A:Z,Info!$O$6,FALSE)</f>
        <v>lfm</v>
      </c>
      <c r="C65" s="146"/>
      <c r="D65" s="136">
        <f t="shared" si="7"/>
        <v>0</v>
      </c>
      <c r="E65" s="264" t="str">
        <f>VLOOKUP("PREFA Rundstange (15 Ø x 3.000 mm) für Schneerechenhaken",Sprachindex!A:Z,Info!$O$6,FALSE)</f>
        <v>PREFA Rundstange (15 Ø x 3.000 mm) für Schneerechenhaken</v>
      </c>
      <c r="F65" s="265"/>
      <c r="G65" s="265"/>
      <c r="H65" s="265"/>
      <c r="I65" s="265"/>
      <c r="J65" s="265"/>
      <c r="K65" s="266"/>
      <c r="L65" s="137" t="str">
        <f t="shared" si="4"/>
        <v/>
      </c>
      <c r="M65" s="147"/>
      <c r="O65" s="1"/>
      <c r="P65" s="11"/>
      <c r="Q65" s="11" t="str">
        <f>ROUNDUP(A65/3,0)*3 &amp;" " &amp; VLOOKUP("lfm",Sprachindex!A:Z,Info!$O$6,FALSE)</f>
        <v>0 lfm</v>
      </c>
      <c r="T65" s="72">
        <v>120300</v>
      </c>
      <c r="U65" s="72">
        <v>120301</v>
      </c>
      <c r="V65" s="72">
        <v>120302</v>
      </c>
      <c r="W65" s="72">
        <v>120303</v>
      </c>
      <c r="X65" s="72">
        <v>120304</v>
      </c>
      <c r="Y65" s="72">
        <v>120305</v>
      </c>
      <c r="Z65" s="72">
        <v>120306</v>
      </c>
      <c r="AA65" s="72">
        <v>120307</v>
      </c>
      <c r="AB65" s="72">
        <v>120308</v>
      </c>
      <c r="AC65" s="72">
        <v>569003</v>
      </c>
    </row>
    <row r="66" spans="1:29" ht="32.1" customHeight="1">
      <c r="A66" s="164"/>
      <c r="B66" s="137" t="str">
        <f>VLOOKUP("Stk",Sprachindex!A:Z,Info!$O$6,FALSE)</f>
        <v>STK</v>
      </c>
      <c r="C66" s="146"/>
      <c r="D66" s="136">
        <f t="shared" si="7"/>
        <v>0</v>
      </c>
      <c r="E66" s="264" t="str">
        <f>VLOOKUP("PREFA Abschluss für Schneerechen",Sprachindex!A:Z,Info!$O$6,FALSE)</f>
        <v>PREFA Abschluss für Schneerechen</v>
      </c>
      <c r="F66" s="265"/>
      <c r="G66" s="265"/>
      <c r="H66" s="265"/>
      <c r="I66" s="265"/>
      <c r="J66" s="265"/>
      <c r="K66" s="266"/>
      <c r="L66" s="137" t="str">
        <f t="shared" si="4"/>
        <v/>
      </c>
      <c r="M66" s="147"/>
      <c r="O66" s="1"/>
      <c r="P66" s="11"/>
      <c r="Q66" s="11" t="str">
        <f>ROUNDUP(A66/1,0)*1 &amp;" " &amp; VLOOKUP("Stk",Sprachindex!A:Z,Info!$O$6,FALSE)</f>
        <v>0 STK</v>
      </c>
      <c r="T66" s="72">
        <v>120380</v>
      </c>
      <c r="U66" s="72">
        <v>120381</v>
      </c>
      <c r="V66" s="72">
        <v>120382</v>
      </c>
      <c r="W66" s="72">
        <v>120383</v>
      </c>
      <c r="X66" s="72">
        <v>120384</v>
      </c>
      <c r="Y66" s="72">
        <v>120385</v>
      </c>
      <c r="Z66" s="72">
        <v>120386</v>
      </c>
      <c r="AA66" s="72">
        <v>120387</v>
      </c>
      <c r="AB66" s="72">
        <v>120388</v>
      </c>
      <c r="AC66" s="72">
        <v>537170</v>
      </c>
    </row>
    <row r="67" spans="1:29" ht="32.1" customHeight="1">
      <c r="A67" s="164"/>
      <c r="B67" s="137" t="str">
        <f>VLOOKUP("Stk",Sprachindex!A:Z,Info!$O$6,FALSE)</f>
        <v>STK</v>
      </c>
      <c r="C67" s="146"/>
      <c r="D67" s="136">
        <f t="shared" si="7"/>
        <v>0</v>
      </c>
      <c r="E67" s="264" t="str">
        <f>VLOOKUP("PREFA Schneerechensystem (205 x 66 x 303 mm)",Sprachindex!A:Z,Info!$O$6,FALSE)</f>
        <v>PREFA Schneerechensystem (205 x 66 x 303 mm)</v>
      </c>
      <c r="F67" s="265"/>
      <c r="G67" s="265"/>
      <c r="H67" s="265"/>
      <c r="I67" s="265"/>
      <c r="J67" s="265"/>
      <c r="K67" s="266"/>
      <c r="L67" s="137" t="str">
        <f t="shared" si="4"/>
        <v/>
      </c>
      <c r="M67" s="147"/>
      <c r="O67" s="1"/>
      <c r="P67" s="11"/>
      <c r="Q67" s="11" t="str">
        <f>ROUNDUP(A67/2,0)*2 &amp;" " &amp; VLOOKUP("Stk",Sprachindex!A:Z,Info!$O$6,FALSE)</f>
        <v>0 STK</v>
      </c>
      <c r="T67" s="72">
        <v>120180</v>
      </c>
      <c r="U67" s="72">
        <v>120181</v>
      </c>
      <c r="V67" s="72">
        <v>120182</v>
      </c>
      <c r="W67" s="72">
        <v>120183</v>
      </c>
      <c r="X67" s="72">
        <v>120184</v>
      </c>
      <c r="Y67" s="72">
        <v>120185</v>
      </c>
      <c r="Z67" s="72">
        <v>120186</v>
      </c>
      <c r="AA67" s="72">
        <v>120187</v>
      </c>
      <c r="AB67" s="72">
        <v>120188</v>
      </c>
      <c r="AC67" s="72">
        <v>515311</v>
      </c>
    </row>
    <row r="68" spans="1:29" ht="32.1" customHeight="1">
      <c r="A68" s="164"/>
      <c r="B68" s="137" t="str">
        <f>VLOOKUP("lfm",Sprachindex!A:Z,Info!$O$6,FALSE)</f>
        <v>lfm</v>
      </c>
      <c r="C68" s="146"/>
      <c r="D68" s="136">
        <f t="shared" si="7"/>
        <v>0</v>
      </c>
      <c r="E68" s="264" t="str">
        <f>VLOOKUP("PREFA Schneerechensystem Einlegprofil (3.000 mm)",Sprachindex!A:Z,Info!$O$6,FALSE)</f>
        <v>PREFA Schneerechensystem Einlegprofil (3.000 mm)</v>
      </c>
      <c r="F68" s="265"/>
      <c r="G68" s="265"/>
      <c r="H68" s="265"/>
      <c r="I68" s="265"/>
      <c r="J68" s="265"/>
      <c r="K68" s="266"/>
      <c r="L68" s="137" t="str">
        <f t="shared" si="4"/>
        <v/>
      </c>
      <c r="M68" s="147"/>
      <c r="O68" s="1"/>
      <c r="P68" s="11"/>
      <c r="Q68" s="11" t="str">
        <f>ROUNDUP(A68/3,0)*3 &amp;" " &amp; VLOOKUP("lfm",Sprachindex!A:Z,Info!$O$6,FALSE)</f>
        <v>0 lfm</v>
      </c>
      <c r="T68" s="72">
        <v>120350</v>
      </c>
      <c r="U68" s="72">
        <v>120351</v>
      </c>
      <c r="V68" s="72">
        <v>120352</v>
      </c>
      <c r="W68" s="72">
        <v>120353</v>
      </c>
      <c r="X68" s="72">
        <v>120354</v>
      </c>
      <c r="Y68" s="72">
        <v>120355</v>
      </c>
      <c r="Z68" s="72">
        <v>120356</v>
      </c>
      <c r="AA68" s="72">
        <v>120357</v>
      </c>
      <c r="AB68" s="72">
        <v>120358</v>
      </c>
      <c r="AC68" s="1">
        <v>669600</v>
      </c>
    </row>
    <row r="69" spans="1:29" ht="32.1" customHeight="1">
      <c r="A69" s="164"/>
      <c r="B69" s="137" t="str">
        <f>VLOOKUP("Stk",Sprachindex!A:Z,Info!$O$6,FALSE)</f>
        <v>STK</v>
      </c>
      <c r="C69" s="146"/>
      <c r="D69" s="136">
        <f t="shared" si="7"/>
        <v>0</v>
      </c>
      <c r="E69" s="264" t="str">
        <f>VLOOKUP("PREFA Schneerechensystem Eiskralle",Sprachindex!A:Z,Info!$O$6,FALSE)</f>
        <v>PREFA Schneerechensystem Eiskralle</v>
      </c>
      <c r="F69" s="265"/>
      <c r="G69" s="265"/>
      <c r="H69" s="265"/>
      <c r="I69" s="265"/>
      <c r="J69" s="265"/>
      <c r="K69" s="266"/>
      <c r="L69" s="137" t="str">
        <f t="shared" si="4"/>
        <v/>
      </c>
      <c r="M69" s="147"/>
      <c r="O69" s="1"/>
      <c r="P69" s="11"/>
      <c r="Q69" s="11" t="str">
        <f>ROUNDUP(A69/1,0)*1 &amp;" " &amp; VLOOKUP("Stk",Sprachindex!A:Z,Info!$O$6,FALSE)</f>
        <v>0 STK</v>
      </c>
      <c r="T69" s="72">
        <v>120700</v>
      </c>
      <c r="U69" s="72">
        <v>120701</v>
      </c>
      <c r="V69" s="72">
        <v>120702</v>
      </c>
      <c r="W69" s="72">
        <v>120703</v>
      </c>
      <c r="X69" s="72">
        <v>120704</v>
      </c>
      <c r="Y69" s="72">
        <v>120705</v>
      </c>
      <c r="Z69" s="72">
        <v>120706</v>
      </c>
      <c r="AA69" s="72">
        <v>120707</v>
      </c>
      <c r="AB69" s="72">
        <v>120708</v>
      </c>
      <c r="AC69" s="72">
        <v>649651</v>
      </c>
    </row>
    <row r="70" spans="1:29" ht="32.1" customHeight="1">
      <c r="A70" s="164"/>
      <c r="B70" s="137" t="str">
        <f>VLOOKUP("Stk",Sprachindex!A:Z,Info!$O$6,FALSE)</f>
        <v>STK</v>
      </c>
      <c r="C70" s="146"/>
      <c r="D70" s="136">
        <f t="shared" si="7"/>
        <v>0</v>
      </c>
      <c r="E70" s="264" t="str">
        <f>VLOOKUP("PREFA Schneerechensystem Abschluss",Sprachindex!A:Z,Info!$O$6,FALSE)</f>
        <v>PREFA Schneerechensystem Abschluss</v>
      </c>
      <c r="F70" s="265"/>
      <c r="G70" s="265"/>
      <c r="H70" s="265"/>
      <c r="I70" s="265"/>
      <c r="J70" s="265"/>
      <c r="K70" s="266"/>
      <c r="L70" s="137" t="str">
        <f t="shared" si="4"/>
        <v/>
      </c>
      <c r="M70" s="147"/>
      <c r="O70" s="1"/>
      <c r="P70" s="11"/>
      <c r="Q70" s="11" t="str">
        <f>ROUNDUP(A70/1,0)*1 &amp;" " &amp; VLOOKUP("Stk",Sprachindex!A:Z,Info!$O$6,FALSE)</f>
        <v>0 STK</v>
      </c>
      <c r="T70" s="72">
        <v>120390</v>
      </c>
      <c r="U70" s="72">
        <v>120391</v>
      </c>
      <c r="V70" s="72">
        <v>120392</v>
      </c>
      <c r="W70" s="72">
        <v>120393</v>
      </c>
      <c r="X70" s="72">
        <v>120394</v>
      </c>
      <c r="Y70" s="72">
        <v>120395</v>
      </c>
      <c r="Z70" s="72">
        <v>120396</v>
      </c>
      <c r="AA70" s="72">
        <v>120397</v>
      </c>
      <c r="AB70" s="72">
        <v>120398</v>
      </c>
      <c r="AC70" s="72">
        <v>515312</v>
      </c>
    </row>
    <row r="71" spans="1:29" ht="32.1" customHeight="1">
      <c r="A71" s="164"/>
      <c r="B71" s="137" t="str">
        <f>VLOOKUP("Stk",Sprachindex!A:Z,Info!$O$6,FALSE)</f>
        <v>STK</v>
      </c>
      <c r="C71" s="146"/>
      <c r="D71" s="136">
        <f t="shared" si="7"/>
        <v>0</v>
      </c>
      <c r="E71" s="264" t="str">
        <f>VLOOKUP("PREFA Gebirgsschneefangstütze",Sprachindex!A:Z,Info!$O$6,FALSE)</f>
        <v>PREFA Gebirgsschneefangstütze</v>
      </c>
      <c r="F71" s="265"/>
      <c r="G71" s="265"/>
      <c r="H71" s="265"/>
      <c r="I71" s="265"/>
      <c r="J71" s="265"/>
      <c r="K71" s="266"/>
      <c r="L71" s="137" t="str">
        <f t="shared" si="4"/>
        <v/>
      </c>
      <c r="M71" s="147"/>
      <c r="O71" s="1"/>
      <c r="P71" s="11"/>
      <c r="Q71" s="11" t="str">
        <f>ROUNDUP(A71/1,0)*1 &amp;" " &amp; VLOOKUP("Stk",Sprachindex!A:Z,Info!$O$6,FALSE)</f>
        <v>0 STK</v>
      </c>
      <c r="T71" s="72">
        <v>120150</v>
      </c>
      <c r="U71" s="72">
        <v>120151</v>
      </c>
      <c r="V71" s="72">
        <v>120152</v>
      </c>
      <c r="W71" s="72">
        <v>120153</v>
      </c>
      <c r="X71" s="72">
        <v>120154</v>
      </c>
      <c r="Y71" s="72">
        <v>120155</v>
      </c>
      <c r="Z71" s="72">
        <v>120156</v>
      </c>
      <c r="AA71" s="72">
        <v>120157</v>
      </c>
      <c r="AB71" s="72">
        <v>120158</v>
      </c>
      <c r="AC71" s="72">
        <v>635801</v>
      </c>
    </row>
    <row r="72" spans="1:29" ht="32.1" customHeight="1">
      <c r="A72" s="164"/>
      <c r="B72" s="137" t="str">
        <f>VLOOKUP("Stk",Sprachindex!A:Z,Info!$O$6,FALSE)</f>
        <v>STK</v>
      </c>
      <c r="C72" s="146"/>
      <c r="D72" s="136">
        <f t="shared" si="7"/>
        <v>0</v>
      </c>
      <c r="E72" s="264" t="str">
        <f>VLOOKUP("PREFA Kaminhut 700 x 700 mm",Sprachindex!A:Z,Info!$O$6,FALSE)</f>
        <v>PREFA Kaminhut 700 x 700 mm</v>
      </c>
      <c r="F72" s="265"/>
      <c r="G72" s="265"/>
      <c r="H72" s="265"/>
      <c r="I72" s="265"/>
      <c r="J72" s="265"/>
      <c r="K72" s="266"/>
      <c r="L72" s="137" t="str">
        <f t="shared" si="4"/>
        <v/>
      </c>
      <c r="M72" s="147"/>
      <c r="O72" s="1"/>
      <c r="P72" s="11"/>
      <c r="Q72" s="11" t="str">
        <f>ROUNDUP(A72/1,0)*1 &amp;" " &amp; VLOOKUP("Stk",Sprachindex!A:Z,Info!$O$6,FALSE)</f>
        <v>0 STK</v>
      </c>
      <c r="T72" s="72">
        <v>110420</v>
      </c>
      <c r="U72" s="72">
        <v>110421</v>
      </c>
      <c r="V72" s="72">
        <v>110422</v>
      </c>
      <c r="W72" s="72">
        <v>110423</v>
      </c>
      <c r="X72" s="72">
        <v>110424</v>
      </c>
      <c r="Y72" s="72">
        <v>110425</v>
      </c>
      <c r="Z72" s="72">
        <v>110426</v>
      </c>
      <c r="AA72" s="72">
        <v>110427</v>
      </c>
      <c r="AB72" s="72">
        <v>110428</v>
      </c>
      <c r="AC72" s="72">
        <v>545001</v>
      </c>
    </row>
    <row r="73" spans="1:29" ht="32.1" customHeight="1">
      <c r="A73" s="164"/>
      <c r="B73" s="137" t="str">
        <f>VLOOKUP("Stk",Sprachindex!A:Z,Info!$O$6,FALSE)</f>
        <v>STK</v>
      </c>
      <c r="C73" s="146"/>
      <c r="D73" s="136">
        <f t="shared" si="7"/>
        <v>0</v>
      </c>
      <c r="E73" s="264" t="str">
        <f>VLOOKUP("PREFA Kaminhut 800 x 800 mm",Sprachindex!A:Z,Info!$O$6,FALSE)</f>
        <v>PREFA Kaminhut 800 x 800 mm</v>
      </c>
      <c r="F73" s="265"/>
      <c r="G73" s="265"/>
      <c r="H73" s="265"/>
      <c r="I73" s="265"/>
      <c r="J73" s="265"/>
      <c r="K73" s="266"/>
      <c r="L73" s="137" t="str">
        <f t="shared" si="4"/>
        <v/>
      </c>
      <c r="M73" s="147"/>
      <c r="O73" s="1"/>
      <c r="P73" s="11"/>
      <c r="Q73" s="11" t="str">
        <f>ROUNDUP(A73/1,0)*1 &amp;" " &amp; VLOOKUP("Stk",Sprachindex!A:Z,Info!$O$6,FALSE)</f>
        <v>0 STK</v>
      </c>
      <c r="T73" s="72">
        <v>110430</v>
      </c>
      <c r="U73" s="72">
        <v>110431</v>
      </c>
      <c r="V73" s="72">
        <v>110432</v>
      </c>
      <c r="W73" s="72">
        <v>110433</v>
      </c>
      <c r="X73" s="72">
        <v>110434</v>
      </c>
      <c r="Y73" s="72">
        <v>110435</v>
      </c>
      <c r="Z73" s="72">
        <v>110436</v>
      </c>
      <c r="AA73" s="72">
        <v>110437</v>
      </c>
      <c r="AB73" s="72">
        <v>110438</v>
      </c>
      <c r="AC73" s="72">
        <v>545012</v>
      </c>
    </row>
    <row r="74" spans="1:29" ht="32.1" customHeight="1">
      <c r="A74" s="164"/>
      <c r="B74" s="137" t="str">
        <f>VLOOKUP("Stk",Sprachindex!A:Z,Info!$O$6,FALSE)</f>
        <v>STK</v>
      </c>
      <c r="C74" s="146"/>
      <c r="D74" s="136">
        <f t="shared" si="7"/>
        <v>0</v>
      </c>
      <c r="E74" s="264" t="str">
        <f>VLOOKUP("PREFA Kaminhut 1.000 x 700 mm",Sprachindex!A:Z,Info!$O$6,FALSE)</f>
        <v>PREFA Kaminhut 1.000 x 700 mm</v>
      </c>
      <c r="F74" s="265"/>
      <c r="G74" s="265"/>
      <c r="H74" s="265"/>
      <c r="I74" s="265"/>
      <c r="J74" s="265"/>
      <c r="K74" s="266"/>
      <c r="L74" s="137" t="str">
        <f t="shared" si="4"/>
        <v/>
      </c>
      <c r="M74" s="147"/>
      <c r="O74" s="1"/>
      <c r="P74" s="11"/>
      <c r="Q74" s="11" t="str">
        <f>ROUNDUP(A74/1,0)*1 &amp;" " &amp; VLOOKUP("Stk",Sprachindex!A:Z,Info!$O$6,FALSE)</f>
        <v>0 STK</v>
      </c>
      <c r="T74" s="72">
        <v>110440</v>
      </c>
      <c r="U74" s="72">
        <v>110441</v>
      </c>
      <c r="V74" s="72">
        <v>110442</v>
      </c>
      <c r="W74" s="72">
        <v>110443</v>
      </c>
      <c r="X74" s="72">
        <v>110444</v>
      </c>
      <c r="Y74" s="72">
        <v>110445</v>
      </c>
      <c r="Z74" s="72">
        <v>110446</v>
      </c>
      <c r="AA74" s="72">
        <v>110447</v>
      </c>
      <c r="AB74" s="72">
        <v>110448</v>
      </c>
      <c r="AC74" s="72">
        <v>545003</v>
      </c>
    </row>
    <row r="75" spans="1:29" ht="32.1" customHeight="1">
      <c r="A75" s="164"/>
      <c r="B75" s="137" t="str">
        <f>VLOOKUP("Stk",Sprachindex!A:Z,Info!$O$6,FALSE)</f>
        <v>STK</v>
      </c>
      <c r="C75" s="146"/>
      <c r="D75" s="136">
        <f t="shared" si="7"/>
        <v>0</v>
      </c>
      <c r="E75" s="264" t="str">
        <f>VLOOKUP("PREFA Kaminhut 1.100 x 800 mm",Sprachindex!A:Z,Info!$O$6,FALSE)</f>
        <v>PREFA Kaminhut 1.100 x 800 mm</v>
      </c>
      <c r="F75" s="265"/>
      <c r="G75" s="265"/>
      <c r="H75" s="265"/>
      <c r="I75" s="265"/>
      <c r="J75" s="265"/>
      <c r="K75" s="266"/>
      <c r="L75" s="137" t="str">
        <f t="shared" si="4"/>
        <v/>
      </c>
      <c r="M75" s="147"/>
      <c r="O75" s="1"/>
      <c r="P75" s="11"/>
      <c r="Q75" s="11" t="str">
        <f>ROUNDUP(A75/1,0)*1 &amp;" " &amp; VLOOKUP("Stk",Sprachindex!A:Z,Info!$O$6,FALSE)</f>
        <v>0 STK</v>
      </c>
      <c r="T75" s="72">
        <v>110450</v>
      </c>
      <c r="U75" s="72">
        <v>110451</v>
      </c>
      <c r="V75" s="72">
        <v>110452</v>
      </c>
      <c r="W75" s="72">
        <v>110453</v>
      </c>
      <c r="X75" s="72">
        <v>110454</v>
      </c>
      <c r="Y75" s="72">
        <v>110455</v>
      </c>
      <c r="Z75" s="72">
        <v>110456</v>
      </c>
      <c r="AA75" s="72">
        <v>110457</v>
      </c>
      <c r="AB75" s="72">
        <v>110458</v>
      </c>
      <c r="AC75" s="72">
        <v>545016</v>
      </c>
    </row>
    <row r="76" spans="1:29" ht="32.1" customHeight="1">
      <c r="A76" s="164"/>
      <c r="B76" s="137" t="str">
        <f>VLOOKUP("Stk",Sprachindex!A:Z,Info!$O$6,FALSE)</f>
        <v>STK</v>
      </c>
      <c r="C76" s="146"/>
      <c r="D76" s="136">
        <f t="shared" si="7"/>
        <v>0</v>
      </c>
      <c r="E76" s="264" t="str">
        <f>VLOOKUP("PREFA Kaminhut 1.500 x 800 mm",Sprachindex!A:Z,Info!$O$6,FALSE)</f>
        <v>PREFA Kaminhut 1.500 x 800 mm</v>
      </c>
      <c r="F76" s="265"/>
      <c r="G76" s="265"/>
      <c r="H76" s="265"/>
      <c r="I76" s="265"/>
      <c r="J76" s="265"/>
      <c r="K76" s="266"/>
      <c r="L76" s="137" t="str">
        <f t="shared" si="4"/>
        <v/>
      </c>
      <c r="M76" s="147"/>
      <c r="O76" s="1"/>
      <c r="P76" s="11"/>
      <c r="Q76" s="11" t="str">
        <f>ROUNDUP(A76/1,0)*1 &amp;" " &amp; VLOOKUP("Stk",Sprachindex!A:Z,Info!$O$6,FALSE)</f>
        <v>0 STK</v>
      </c>
      <c r="T76" s="72">
        <v>110460</v>
      </c>
      <c r="U76" s="72">
        <v>110461</v>
      </c>
      <c r="V76" s="72">
        <v>110462</v>
      </c>
      <c r="W76" s="72">
        <v>110463</v>
      </c>
      <c r="X76" s="72">
        <v>110464</v>
      </c>
      <c r="Y76" s="72">
        <v>110465</v>
      </c>
      <c r="Z76" s="72">
        <v>110466</v>
      </c>
      <c r="AA76" s="72">
        <v>110467</v>
      </c>
      <c r="AB76" s="72">
        <v>110468</v>
      </c>
      <c r="AC76" s="72">
        <v>545005</v>
      </c>
    </row>
    <row r="77" spans="1:29" ht="32.1" customHeight="1">
      <c r="A77" s="164"/>
      <c r="B77" s="137" t="str">
        <f>VLOOKUP("Stk",Sprachindex!A:Z,Info!$O$6,FALSE)</f>
        <v>STK</v>
      </c>
      <c r="C77" s="146"/>
      <c r="D77" s="136">
        <f t="shared" si="7"/>
        <v>0</v>
      </c>
      <c r="E77" s="264" t="str">
        <f>VLOOKUP("Kaminstrebe gebogen",Sprachindex!A:Z,Info!$O$6,FALSE)</f>
        <v>Kaminstrebe gebogen</v>
      </c>
      <c r="F77" s="265"/>
      <c r="G77" s="265"/>
      <c r="H77" s="265"/>
      <c r="I77" s="265"/>
      <c r="J77" s="265"/>
      <c r="K77" s="266"/>
      <c r="L77" s="137" t="str">
        <f t="shared" si="4"/>
        <v/>
      </c>
      <c r="M77" s="147"/>
      <c r="O77" s="1"/>
      <c r="P77" s="11"/>
      <c r="Q77" s="11" t="str">
        <f>ROUNDUP(A77/1,0)*1 &amp;" " &amp; VLOOKUP("Stk",Sprachindex!A:Z,Info!$O$6,FALSE)</f>
        <v>0 STK</v>
      </c>
      <c r="T77" s="72">
        <v>110410</v>
      </c>
      <c r="U77" s="72">
        <v>110411</v>
      </c>
      <c r="V77" s="72">
        <v>110412</v>
      </c>
      <c r="W77" s="72">
        <v>110413</v>
      </c>
      <c r="X77" s="72">
        <v>110414</v>
      </c>
      <c r="Y77" s="72">
        <v>110415</v>
      </c>
      <c r="Z77" s="72">
        <v>110416</v>
      </c>
      <c r="AA77" s="72">
        <v>110417</v>
      </c>
      <c r="AB77" s="72">
        <v>110418</v>
      </c>
      <c r="AC77" s="72">
        <v>537029</v>
      </c>
    </row>
    <row r="78" spans="1:29" ht="32.1" customHeight="1">
      <c r="A78" s="164"/>
      <c r="B78" s="137" t="str">
        <f>VLOOKUP("lfm",Sprachindex!A:Z,Info!$O$6,FALSE)</f>
        <v>lfm</v>
      </c>
      <c r="C78" s="146"/>
      <c r="D78" s="136">
        <f t="shared" si="7"/>
        <v>0</v>
      </c>
      <c r="E78" s="264" t="str">
        <f>VLOOKUP("PREFA Flachprofil (35 x 7 x 3.000 mm)",Sprachindex!A:Z,Info!$O$6,FALSE)</f>
        <v>PREFA Flachprofil (35 x 7 x 3.000 mm)</v>
      </c>
      <c r="F78" s="265"/>
      <c r="G78" s="265"/>
      <c r="H78" s="265"/>
      <c r="I78" s="265"/>
      <c r="J78" s="265"/>
      <c r="K78" s="266"/>
      <c r="L78" s="137" t="str">
        <f t="shared" si="4"/>
        <v/>
      </c>
      <c r="M78" s="147"/>
      <c r="O78" s="1"/>
      <c r="P78" s="11"/>
      <c r="Q78" s="11" t="str">
        <f>ROUNDUP(A78/3,0)*3 &amp;" " &amp; VLOOKUP("lfm",Sprachindex!A:Z,Info!$O$6,FALSE)</f>
        <v>0 lfm</v>
      </c>
      <c r="T78" s="72">
        <v>110400</v>
      </c>
      <c r="U78" s="72">
        <v>110401</v>
      </c>
      <c r="V78" s="72">
        <v>110402</v>
      </c>
      <c r="W78" s="72">
        <v>110403</v>
      </c>
      <c r="X78" s="72">
        <v>110404</v>
      </c>
      <c r="Y78" s="72">
        <v>110405</v>
      </c>
      <c r="Z78" s="72">
        <v>110406</v>
      </c>
      <c r="AA78" s="72">
        <v>110407</v>
      </c>
      <c r="AB78" s="72">
        <v>110408</v>
      </c>
      <c r="AC78" s="100" t="s">
        <v>3551</v>
      </c>
    </row>
    <row r="79" spans="1:29" ht="32.1" customHeight="1">
      <c r="A79" s="164"/>
      <c r="B79" s="137" t="str">
        <f>VLOOKUP("Stk",Sprachindex!A:Z,Info!$O$6,FALSE)</f>
        <v>STK</v>
      </c>
      <c r="C79" s="146"/>
      <c r="D79" s="136">
        <f t="shared" si="7"/>
        <v>0</v>
      </c>
      <c r="E79" s="264" t="str">
        <f>VLOOKUP("PREFA Hauerbuckel, zum Abdecken von Befestigungsmitteln",Sprachindex!A:Z,Info!$O$6,FALSE)</f>
        <v>PREFA Hauerbuckel, zum Abdecken von Befestigungsmitteln</v>
      </c>
      <c r="F79" s="265"/>
      <c r="G79" s="265"/>
      <c r="H79" s="265"/>
      <c r="I79" s="265"/>
      <c r="J79" s="265"/>
      <c r="K79" s="266"/>
      <c r="L79" s="137" t="str">
        <f t="shared" si="4"/>
        <v/>
      </c>
      <c r="M79" s="147"/>
      <c r="O79" s="1"/>
      <c r="P79" s="11"/>
      <c r="Q79" s="11" t="str">
        <f>ROUNDUP(A79/1,0)*1 &amp;" " &amp; VLOOKUP("Stk",Sprachindex!A:Z,Info!$O$6,FALSE)</f>
        <v>0 STK</v>
      </c>
      <c r="T79" s="72">
        <v>112401</v>
      </c>
      <c r="U79" s="72">
        <v>112402</v>
      </c>
      <c r="V79" s="72">
        <v>112403</v>
      </c>
      <c r="W79" s="72">
        <v>112404</v>
      </c>
      <c r="X79" s="72">
        <v>112405</v>
      </c>
      <c r="Y79" s="72">
        <v>112406</v>
      </c>
      <c r="Z79" s="72">
        <v>112407</v>
      </c>
      <c r="AA79" s="72">
        <v>112408</v>
      </c>
      <c r="AB79" s="72">
        <v>112409</v>
      </c>
      <c r="AC79" s="72">
        <v>112420</v>
      </c>
    </row>
    <row r="80" spans="1:29" ht="32.1" customHeight="1">
      <c r="A80" s="164"/>
      <c r="B80" s="137" t="str">
        <f>VLOOKUP("Stk",Sprachindex!A:Z,Info!$O$6,FALSE)</f>
        <v>STK</v>
      </c>
      <c r="C80" s="146"/>
      <c r="D80" s="136">
        <v>420006</v>
      </c>
      <c r="E80" s="264" t="str">
        <f>VLOOKUP("PREFA Silikon Kartusche",Sprachindex!A:Z,Info!$O$6,FALSE)</f>
        <v>PREFA Silikon Kartusche</v>
      </c>
      <c r="F80" s="265"/>
      <c r="G80" s="265"/>
      <c r="H80" s="265"/>
      <c r="I80" s="265"/>
      <c r="J80" s="265"/>
      <c r="K80" s="266"/>
      <c r="L80" s="137" t="str">
        <f t="shared" si="4"/>
        <v/>
      </c>
      <c r="M80" s="147"/>
      <c r="O80" s="1"/>
      <c r="P80" s="57"/>
      <c r="Q80" s="11" t="str">
        <f>ROUNDUP(A80/1,0)*1 &amp;" " &amp; VLOOKUP("Stk",Sprachindex!A:Z,Info!$O$6,FALSE)</f>
        <v>0 STK</v>
      </c>
    </row>
    <row r="81" spans="1:39" ht="32.1" customHeight="1">
      <c r="A81" s="164"/>
      <c r="B81" s="137" t="str">
        <f>VLOOKUP("Set",Sprachindex!A:Z,Info!$O$6,FALSE)</f>
        <v>Set</v>
      </c>
      <c r="C81" s="146"/>
      <c r="D81" s="136">
        <v>420500</v>
      </c>
      <c r="E81" s="264" t="str">
        <f>VLOOKUP("PREFA Spezialkleberset",Sprachindex!A:Z,Info!$O$6,FALSE)</f>
        <v>PREFA Spezialkleberset</v>
      </c>
      <c r="F81" s="265"/>
      <c r="G81" s="265"/>
      <c r="H81" s="265"/>
      <c r="I81" s="265"/>
      <c r="J81" s="265"/>
      <c r="K81" s="266"/>
      <c r="L81" s="137" t="str">
        <f t="shared" si="4"/>
        <v/>
      </c>
      <c r="M81" s="147"/>
      <c r="O81" s="1"/>
      <c r="P81" s="11"/>
      <c r="Q81" s="11" t="str">
        <f>ROUNDUP(A81/1,0)*1 &amp;" " &amp; VLOOKUP("Set",Sprachindex!A:Z,Info!$O$6,FALSE)</f>
        <v>0 Set</v>
      </c>
    </row>
    <row r="82" spans="1:39" ht="32.1" customHeight="1">
      <c r="A82" s="164"/>
      <c r="B82" s="137" t="str">
        <f>VLOOKUP("kg",Sprachindex!A:Z,Info!$O$6,FALSE)</f>
        <v>kg</v>
      </c>
      <c r="C82" s="146"/>
      <c r="D82" s="139">
        <f>IF(I82=Formeln!A116,X82,IF(I82=Formeln!A117,T82,IF(I82=Formeln!A118,U82,IF(I82=Formeln!A119,V82,IF(I82=Formeln!A120,W82,0)))))</f>
        <v>0</v>
      </c>
      <c r="E82" s="267" t="str">
        <f>VLOOKUP("PREFA Lochblech DM 5 mm
ca. 24kg/Rolle (0,7x1.000 mm)",Sprachindex!A:Z,Info!$O$6,FALSE)</f>
        <v>PREFA Lochblech DM 5 mm
ca. 24kg/Rolle (0,7x1.000 mm)</v>
      </c>
      <c r="F82" s="268"/>
      <c r="G82" s="268"/>
      <c r="H82" s="268"/>
      <c r="I82" s="269"/>
      <c r="J82" s="270"/>
      <c r="K82" s="270"/>
      <c r="L82" s="137" t="str">
        <f t="shared" si="4"/>
        <v/>
      </c>
      <c r="M82" s="147"/>
      <c r="O82" s="1"/>
      <c r="P82" s="11"/>
      <c r="Q82" s="11" t="str">
        <f>ROUNDUP(A82/24,0)*1 &amp; " " &amp; R82 &amp; "                         (" &amp;ROUNDUP(A82/24,0)*24&amp;" " &amp; B82 &amp; ")"</f>
        <v>0 Rolle                         (0 kg)</v>
      </c>
      <c r="R82" s="11" t="str">
        <f>IF(A82&gt;21.24, Formeln!A128, Formeln!A127)</f>
        <v>Rolle</v>
      </c>
      <c r="T82" s="72">
        <v>507202</v>
      </c>
      <c r="U82" s="72">
        <v>507203</v>
      </c>
      <c r="V82" s="72">
        <v>507204</v>
      </c>
      <c r="W82" s="72">
        <v>507205</v>
      </c>
      <c r="X82" s="72">
        <v>507206</v>
      </c>
    </row>
    <row r="83" spans="1:39" ht="50.1" customHeight="1">
      <c r="A83" s="164"/>
      <c r="B83" s="137" t="str">
        <f>VLOOKUP("kg",Sprachindex!A:Z,Info!$O$6,FALSE)</f>
        <v>kg</v>
      </c>
      <c r="C83" s="146"/>
      <c r="D83" s="142">
        <f>IF(AND(I83=Formeln!A21,K83=Formeln!A134),T83,IF(AND(I83=Formeln!A21,K83=Formeln!A137),U83,IF(AND(I83=Formeln!A21,K83=Formeln!A139),V83,IF(AND(I83=Formeln!A21,K83=Formeln!A137),AE83,IF(AND(I83=Formeln!A21,K83=Formeln!A133),W83,IF(AND(I83=Formeln!A21,K83=Formeln!A141),X83,IF(AND(I83=Formeln!A21,K83=Formeln!A136),Y83,IF(AND(I83=Formeln!A21,K83=Formeln!A140),Z83,IF(AND(I83=Formeln!A21,K83=Formeln!A138),AA83,IF(AND(I83=Formeln!A21,K83=Formeln!A135),AB83,IF(AND(I83=Formeln!A21,K83=Formeln!A142),AC83,IF(AND(I83=Formeln!A22,K83=Formeln!A134),AD83,IF(AND(I83=Formeln!A22,K83=Formeln!A137),AE83,IF(AND(I83=Formeln!A22,K83=Formeln!A139),AF83,IF(AND(I83=Formeln!A22,K83=Formeln!A137),AE83,IF(AND(I83=Formeln!A22,K83=Formeln!A133),AG83,IF(AND(I83=Formeln!A22,K83=Formeln!A141),AH83,IF(AND(I83=Formeln!A22,K83=Formeln!A136),AI83,IF(AND(I83=Formeln!A22,K83=Formeln!A140),AJ83,IF(AND(I83=Formeln!A22,K83=Formeln!A138),AK83,IF(AND(I83=Formeln!A22,K83=Formeln!A135),AL83,IF(AND(I83=Formeln!A22,K83=Formeln!A142),AM83,0))))))))))))))))))))))</f>
        <v>0</v>
      </c>
      <c r="E83" s="264" t="str">
        <f>VLOOKUP("PREFALZ Ergänzungsband 0,7x1.000 mm (für Zusatzverblechungen)",Sprachindex!A:Z,Info!$O$6,FALSE)</f>
        <v>PREFALZ Ergänzungsband 0,7x1.000 mm (für Zusatzverblechungen)</v>
      </c>
      <c r="F83" s="265"/>
      <c r="G83" s="265"/>
      <c r="H83" s="148" t="str">
        <f>VLOOKUP("Oberfläche:",Sprachindex!A:Z,Info!$O$6,FALSE)</f>
        <v>Oberfläche:</v>
      </c>
      <c r="I83" s="149"/>
      <c r="J83" s="145" t="str">
        <f>VLOOKUP("Farbe:",Sprachindex!A:Z,Info!$O$6,FALSE)</f>
        <v>Farbe:</v>
      </c>
      <c r="K83" s="149"/>
      <c r="L83" s="137" t="str">
        <f t="shared" si="4"/>
        <v/>
      </c>
      <c r="M83" s="147"/>
      <c r="O83" s="1"/>
      <c r="P83" s="11"/>
      <c r="Q83" s="11" t="str">
        <f>ROUNDUP(A83/60,0)*1 &amp; " " &amp; R83 &amp; "                         (" &amp;ROUNDUP(A83/60,0)*60&amp;" " &amp; B83 &amp; ")"</f>
        <v>0 Rolle                         (0 kg)</v>
      </c>
      <c r="R83" s="11" t="str">
        <f>IF(A83&gt;60, Formeln!A128, Formeln!A127)</f>
        <v>Rolle</v>
      </c>
      <c r="T83" s="202" t="s">
        <v>3552</v>
      </c>
      <c r="U83" s="202" t="s">
        <v>3553</v>
      </c>
      <c r="V83" s="202" t="s">
        <v>3554</v>
      </c>
      <c r="W83" s="202" t="s">
        <v>3555</v>
      </c>
      <c r="X83" s="202" t="s">
        <v>3556</v>
      </c>
      <c r="Y83" s="202" t="s">
        <v>3557</v>
      </c>
      <c r="Z83" s="202" t="s">
        <v>3558</v>
      </c>
      <c r="AA83" s="202" t="s">
        <v>3559</v>
      </c>
      <c r="AB83" s="202" t="s">
        <v>3560</v>
      </c>
      <c r="AC83" s="202" t="s">
        <v>3561</v>
      </c>
      <c r="AD83" s="202" t="s">
        <v>3758</v>
      </c>
      <c r="AE83" s="202" t="s">
        <v>3759</v>
      </c>
      <c r="AF83" s="202" t="s">
        <v>3760</v>
      </c>
      <c r="AG83" s="202" t="s">
        <v>3761</v>
      </c>
      <c r="AH83" s="202" t="s">
        <v>3762</v>
      </c>
      <c r="AI83" s="202" t="s">
        <v>3763</v>
      </c>
      <c r="AJ83" s="202" t="s">
        <v>3764</v>
      </c>
      <c r="AK83" s="202" t="s">
        <v>3765</v>
      </c>
      <c r="AL83" s="202" t="s">
        <v>3766</v>
      </c>
      <c r="AM83" s="202" t="s">
        <v>3562</v>
      </c>
    </row>
    <row r="84" spans="1:39" ht="32.1" customHeight="1">
      <c r="A84" s="164"/>
      <c r="B84" s="173"/>
      <c r="C84" s="173"/>
      <c r="D84" s="173"/>
      <c r="E84" s="298"/>
      <c r="F84" s="299"/>
      <c r="G84" s="299"/>
      <c r="H84" s="299"/>
      <c r="I84" s="299"/>
      <c r="J84" s="299"/>
      <c r="K84" s="300"/>
      <c r="L84" s="173"/>
      <c r="M84" s="174"/>
      <c r="O84" s="1"/>
      <c r="P84" s="11"/>
      <c r="Q84" s="11" t="str">
        <f>ROUNDUP(A84/1,0)*1 &amp;" " &amp; VLOOKUP("Stk",Sprachindex!A:Z,Info!$O$6,FALSE)</f>
        <v>0 STK</v>
      </c>
    </row>
    <row r="85" spans="1:39" ht="32.1" customHeight="1">
      <c r="A85" s="164"/>
      <c r="B85" s="173"/>
      <c r="C85" s="173"/>
      <c r="D85" s="173"/>
      <c r="E85" s="298"/>
      <c r="F85" s="299"/>
      <c r="G85" s="299"/>
      <c r="H85" s="299"/>
      <c r="I85" s="299"/>
      <c r="J85" s="299"/>
      <c r="K85" s="300"/>
      <c r="L85" s="173"/>
      <c r="M85" s="174"/>
      <c r="O85" s="1"/>
      <c r="P85" s="11"/>
      <c r="Q85" s="11" t="str">
        <f>ROUNDUP(A85/1,0)*1 &amp;" " &amp; VLOOKUP("Stk",Sprachindex!A:Z,Info!$O$6,FALSE)</f>
        <v>0 STK</v>
      </c>
    </row>
    <row r="86" spans="1:39" ht="32.1" customHeight="1" thickBot="1">
      <c r="A86" s="175"/>
      <c r="B86" s="176"/>
      <c r="C86" s="176"/>
      <c r="D86" s="176"/>
      <c r="E86" s="301"/>
      <c r="F86" s="302"/>
      <c r="G86" s="302"/>
      <c r="H86" s="302"/>
      <c r="I86" s="302"/>
      <c r="J86" s="302"/>
      <c r="K86" s="303"/>
      <c r="L86" s="176"/>
      <c r="M86" s="177"/>
      <c r="O86" s="1"/>
      <c r="P86" s="11"/>
      <c r="Q86" s="11" t="str">
        <f>ROUNDUP(A86/1,0)*1 &amp;" " &amp; VLOOKUP("Stk",Sprachindex!A:Z,Info!$O$6,FALSE)</f>
        <v>0 STK</v>
      </c>
    </row>
    <row r="87" spans="1:39" ht="16.899999999999999">
      <c r="A87" s="123"/>
      <c r="B87" s="123"/>
      <c r="C87" s="123"/>
      <c r="D87" s="280"/>
      <c r="E87" s="280"/>
      <c r="F87" s="280"/>
      <c r="G87" s="280"/>
      <c r="H87" s="280"/>
      <c r="I87" s="280"/>
      <c r="J87" s="280"/>
      <c r="K87" s="280"/>
      <c r="L87" s="280"/>
      <c r="M87" s="280"/>
    </row>
    <row r="88" spans="1:39" ht="16.899999999999999">
      <c r="A88" s="123"/>
      <c r="B88" s="123"/>
      <c r="C88" s="153" t="str">
        <f>VLOOKUP("Zusatzvermerk:",Sprachindex!A:Z,Info!$O$6,FALSE)</f>
        <v>Zusatzvermerk:</v>
      </c>
      <c r="D88" s="279"/>
      <c r="E88" s="279"/>
      <c r="F88" s="279"/>
      <c r="G88" s="279"/>
      <c r="H88" s="279"/>
      <c r="I88" s="279"/>
      <c r="J88" s="279"/>
      <c r="K88" s="279"/>
      <c r="L88" s="279"/>
      <c r="M88" s="279"/>
    </row>
    <row r="89" spans="1:39" ht="16.899999999999999">
      <c r="A89" s="123"/>
      <c r="B89" s="123"/>
      <c r="C89" s="123"/>
      <c r="D89" s="278"/>
      <c r="E89" s="278"/>
      <c r="F89" s="278"/>
      <c r="G89" s="278"/>
      <c r="H89" s="278"/>
      <c r="I89" s="278"/>
      <c r="J89" s="278"/>
      <c r="K89" s="278"/>
      <c r="L89" s="278"/>
      <c r="M89" s="278"/>
    </row>
    <row r="90" spans="1:39" ht="16.899999999999999">
      <c r="A90" s="123"/>
      <c r="B90" s="123"/>
      <c r="C90" s="123"/>
      <c r="D90" s="279"/>
      <c r="E90" s="279"/>
      <c r="F90" s="279"/>
      <c r="G90" s="279"/>
      <c r="H90" s="279"/>
      <c r="I90" s="279"/>
      <c r="J90" s="279"/>
      <c r="K90" s="279"/>
      <c r="L90" s="279"/>
      <c r="M90" s="279"/>
    </row>
    <row r="91" spans="1:39" ht="16.899999999999999">
      <c r="A91" s="123"/>
      <c r="B91" s="123"/>
      <c r="C91" s="123"/>
      <c r="D91" s="278"/>
      <c r="E91" s="278"/>
      <c r="F91" s="278"/>
      <c r="G91" s="278"/>
      <c r="H91" s="278"/>
      <c r="I91" s="278"/>
      <c r="J91" s="278"/>
      <c r="K91" s="278"/>
      <c r="L91" s="278"/>
      <c r="M91" s="278"/>
    </row>
    <row r="92" spans="1:39" ht="16.899999999999999">
      <c r="A92" s="123"/>
      <c r="B92" s="123"/>
      <c r="C92" s="123"/>
      <c r="D92" s="279"/>
      <c r="E92" s="279"/>
      <c r="F92" s="279"/>
      <c r="G92" s="279"/>
      <c r="H92" s="279"/>
      <c r="I92" s="279"/>
      <c r="J92" s="279"/>
      <c r="K92" s="279"/>
      <c r="L92" s="279"/>
      <c r="M92" s="279"/>
    </row>
    <row r="93" spans="1:39" ht="13.5"/>
    <row r="94" spans="1:39" ht="13.5"/>
    <row r="95" spans="1:39" ht="16.899999999999999">
      <c r="A95" s="154" t="str">
        <f>VLOOKUP("Anwendungstechnik",Sprachindex!A:Z,Info!$O$6,FALSE)</f>
        <v>Anwendungstechnik</v>
      </c>
      <c r="B95" s="155"/>
      <c r="C95" s="155"/>
      <c r="D95" s="263"/>
      <c r="E95" s="263"/>
      <c r="F95" s="263"/>
      <c r="G95" s="263"/>
      <c r="H95" s="263"/>
      <c r="I95" s="263"/>
      <c r="J95" s="263"/>
      <c r="K95" s="156" t="str">
        <f>VLOOKUP("Stand:",Sprachindex!A:Z,Info!$O$6,FALSE)</f>
        <v>Stand:</v>
      </c>
      <c r="L95" s="281">
        <v>43182</v>
      </c>
      <c r="M95" s="282"/>
      <c r="O95" s="12" t="str">
        <f>VLOOKUP("Vielen Dank für Ihre Mengenermittlung",Sprachindex!A:Z,Info!$O$6,FALSE)</f>
        <v>Vielen Dank für Ihre Mengenermittlung</v>
      </c>
    </row>
    <row r="96" spans="1:39" ht="13.5"/>
    <row r="97" ht="13.5" hidden="1"/>
    <row r="98" ht="13.5" hidden="1"/>
    <row r="99" ht="13.5" hidden="1"/>
    <row r="100" ht="13.5" hidden="1"/>
    <row r="101" ht="13.5" hidden="1"/>
    <row r="102" ht="13.5" hidden="1"/>
    <row r="103" ht="13.5" hidden="1"/>
    <row r="104" ht="14.25" hidden="1" customHeight="1"/>
    <row r="105" ht="14.25" hidden="1" customHeight="1"/>
    <row r="106" ht="14.25" hidden="1" customHeight="1"/>
  </sheetData>
  <sheetProtection algorithmName="SHA-512" hashValue="csTc85vF8/8R+BSDzFfXAxhWG0Qo+PoarVez55J4G1LReLx+oYd8CcAQ19xt6dsmNZwogvp5RKGQatnAMsrW4Q==" saltValue="390CVRcFmG0dcTbHI7CltQ==" spinCount="100000" sheet="1" objects="1" scenarios="1" selectLockedCells="1" autoFilter="0"/>
  <protectedRanges>
    <protectedRange password="DEBF" sqref="Q27" name="darf vom Benutzer nicht verändert werden_1"/>
    <protectedRange password="DEBF" sqref="P27" name="darf vom Benutzer nicht verändert werden_1_5_2_1"/>
    <protectedRange password="DEBF" sqref="Q28" name="darf vom Benutzer nicht verändert werden_1_4"/>
    <protectedRange password="DEBF" sqref="P28" name="darf vom Benutzer nicht verändert werden_1_5_2_4"/>
    <protectedRange password="DEBF" sqref="P29:Q29" name="darf vom Benutzer nicht verändert werden_1_5_2_5"/>
    <protectedRange password="DEBF" sqref="P82:Q83" name="darf vom Benutzer nicht verändert werden_1_5"/>
    <protectedRange password="DEBF" sqref="P80" name="darf vom Benutzer nicht verändert werden_1_5_2_6"/>
    <protectedRange password="DEBF" sqref="R82:R83" name="darf vom Benutzer nicht verändert werden_1_12"/>
    <protectedRange password="DEBF" sqref="P25:Q25 P30:Q43" name="darf vom Benutzer nicht verändert werden_1_5_3"/>
    <protectedRange password="DEBF" sqref="P44:Q55" name="darf vom Benutzer nicht verändert werden_1_5_4"/>
    <protectedRange password="DEBF" sqref="P56:Q62" name="darf vom Benutzer nicht verändert werden_1_5_5"/>
    <protectedRange password="DEBF" sqref="P63:Q79 Q80" name="darf vom Benutzer nicht verändert werden_1_5_7"/>
    <protectedRange password="DEBF" sqref="P81:Q81" name="darf vom Benutzer nicht verändert werden_1_5_9"/>
    <protectedRange password="DEBF" sqref="P84:Q86" name="darf vom Benutzer nicht verändert werden_1_5_10"/>
    <protectedRange password="DEBF" sqref="P26:Q26" name="darf vom Benutzer nicht verändert werden_1_2"/>
  </protectedRanges>
  <autoFilter ref="A22:A86"/>
  <mergeCells count="91">
    <mergeCell ref="D95:J95"/>
    <mergeCell ref="E84:K84"/>
    <mergeCell ref="E85:K85"/>
    <mergeCell ref="E86:K86"/>
    <mergeCell ref="D91:M92"/>
    <mergeCell ref="D89:M90"/>
    <mergeCell ref="D87:M88"/>
    <mergeCell ref="L95:M95"/>
    <mergeCell ref="E83:G83"/>
    <mergeCell ref="E73:K73"/>
    <mergeCell ref="E74:K74"/>
    <mergeCell ref="E75:K75"/>
    <mergeCell ref="E76:K76"/>
    <mergeCell ref="E77:K77"/>
    <mergeCell ref="E78:K78"/>
    <mergeCell ref="E79:K79"/>
    <mergeCell ref="E80:K80"/>
    <mergeCell ref="E81:K81"/>
    <mergeCell ref="E82:H82"/>
    <mergeCell ref="I82:K82"/>
    <mergeCell ref="E72:K72"/>
    <mergeCell ref="E61:K61"/>
    <mergeCell ref="E62:K62"/>
    <mergeCell ref="E63:K63"/>
    <mergeCell ref="E64:K64"/>
    <mergeCell ref="E65:K65"/>
    <mergeCell ref="E66:K66"/>
    <mergeCell ref="E67:K67"/>
    <mergeCell ref="E68:K68"/>
    <mergeCell ref="E69:K69"/>
    <mergeCell ref="E70:K70"/>
    <mergeCell ref="E71:K71"/>
    <mergeCell ref="E60:K60"/>
    <mergeCell ref="E49:K49"/>
    <mergeCell ref="E50:K50"/>
    <mergeCell ref="E51:K51"/>
    <mergeCell ref="E52:K52"/>
    <mergeCell ref="E53:K53"/>
    <mergeCell ref="E54:K54"/>
    <mergeCell ref="E55:K55"/>
    <mergeCell ref="E56:K56"/>
    <mergeCell ref="E57:K57"/>
    <mergeCell ref="E58:K58"/>
    <mergeCell ref="E59:K59"/>
    <mergeCell ref="E48:K48"/>
    <mergeCell ref="E42:K42"/>
    <mergeCell ref="E43:K43"/>
    <mergeCell ref="E44:H44"/>
    <mergeCell ref="E45:H45"/>
    <mergeCell ref="J45:K45"/>
    <mergeCell ref="E46:H46"/>
    <mergeCell ref="J46:K46"/>
    <mergeCell ref="E47:K47"/>
    <mergeCell ref="E38:K38"/>
    <mergeCell ref="E39:K39"/>
    <mergeCell ref="E40:G40"/>
    <mergeCell ref="H40:K40"/>
    <mergeCell ref="E41:G41"/>
    <mergeCell ref="H41:K41"/>
    <mergeCell ref="E37:K37"/>
    <mergeCell ref="E28:G28"/>
    <mergeCell ref="H28:K28"/>
    <mergeCell ref="E29:G29"/>
    <mergeCell ref="H29:K29"/>
    <mergeCell ref="E30:K30"/>
    <mergeCell ref="E31:G31"/>
    <mergeCell ref="H31:K31"/>
    <mergeCell ref="E32:K32"/>
    <mergeCell ref="E33:K33"/>
    <mergeCell ref="E34:K34"/>
    <mergeCell ref="E35:K35"/>
    <mergeCell ref="E36:K36"/>
    <mergeCell ref="E27:K27"/>
    <mergeCell ref="C12:E12"/>
    <mergeCell ref="C13:E13"/>
    <mergeCell ref="C14:E14"/>
    <mergeCell ref="C17:E17"/>
    <mergeCell ref="C18:E18"/>
    <mergeCell ref="C19:E19"/>
    <mergeCell ref="C20:E20"/>
    <mergeCell ref="B22:E22"/>
    <mergeCell ref="E23:K23"/>
    <mergeCell ref="E24:K24"/>
    <mergeCell ref="E25:K25"/>
    <mergeCell ref="E26:K26"/>
    <mergeCell ref="K6:M6"/>
    <mergeCell ref="K5:M5"/>
    <mergeCell ref="K4:M4"/>
    <mergeCell ref="C10:E10"/>
    <mergeCell ref="C8:E8"/>
    <mergeCell ref="C9:E9"/>
  </mergeCells>
  <conditionalFormatting sqref="J20:K20">
    <cfRule type="expression" dxfId="1709" priority="346">
      <formula>$N$20=10</formula>
    </cfRule>
  </conditionalFormatting>
  <conditionalFormatting sqref="I20:I21">
    <cfRule type="expression" dxfId="1708" priority="347">
      <formula>$N$20=10</formula>
    </cfRule>
  </conditionalFormatting>
  <conditionalFormatting sqref="C8:E8">
    <cfRule type="cellIs" dxfId="1707" priority="331" operator="equal">
      <formula>""</formula>
    </cfRule>
  </conditionalFormatting>
  <conditionalFormatting sqref="C9:E9">
    <cfRule type="cellIs" dxfId="1706" priority="330" operator="equal">
      <formula>""</formula>
    </cfRule>
  </conditionalFormatting>
  <conditionalFormatting sqref="C10:E10">
    <cfRule type="cellIs" dxfId="1705" priority="329" operator="equal">
      <formula>""</formula>
    </cfRule>
  </conditionalFormatting>
  <conditionalFormatting sqref="C12:E12">
    <cfRule type="cellIs" dxfId="1704" priority="328" operator="equal">
      <formula>""</formula>
    </cfRule>
  </conditionalFormatting>
  <conditionalFormatting sqref="C13:E13">
    <cfRule type="cellIs" dxfId="1703" priority="327" operator="equal">
      <formula>""</formula>
    </cfRule>
  </conditionalFormatting>
  <conditionalFormatting sqref="C14:E14">
    <cfRule type="cellIs" dxfId="1702" priority="326" operator="equal">
      <formula>""</formula>
    </cfRule>
  </conditionalFormatting>
  <conditionalFormatting sqref="C17:E17">
    <cfRule type="cellIs" dxfId="1701" priority="325" operator="equal">
      <formula>""</formula>
    </cfRule>
  </conditionalFormatting>
  <conditionalFormatting sqref="C18:E18">
    <cfRule type="cellIs" dxfId="1700" priority="324" operator="equal">
      <formula>""</formula>
    </cfRule>
  </conditionalFormatting>
  <conditionalFormatting sqref="C19:E19">
    <cfRule type="cellIs" dxfId="1699" priority="323" operator="equal">
      <formula>""</formula>
    </cfRule>
  </conditionalFormatting>
  <conditionalFormatting sqref="C20:E20">
    <cfRule type="cellIs" dxfId="1698" priority="322" operator="equal">
      <formula>""</formula>
    </cfRule>
  </conditionalFormatting>
  <conditionalFormatting sqref="K4">
    <cfRule type="cellIs" dxfId="1697" priority="321" operator="equal">
      <formula>""</formula>
    </cfRule>
  </conditionalFormatting>
  <conditionalFormatting sqref="K5">
    <cfRule type="cellIs" dxfId="1696" priority="320" operator="equal">
      <formula>""</formula>
    </cfRule>
  </conditionalFormatting>
  <conditionalFormatting sqref="K6">
    <cfRule type="cellIs" dxfId="1695" priority="319" operator="equal">
      <formula>""</formula>
    </cfRule>
  </conditionalFormatting>
  <conditionalFormatting sqref="A24">
    <cfRule type="cellIs" dxfId="1694" priority="318" operator="equal">
      <formula>""</formula>
    </cfRule>
  </conditionalFormatting>
  <conditionalFormatting sqref="A25">
    <cfRule type="cellIs" dxfId="1693" priority="317" operator="equal">
      <formula>""</formula>
    </cfRule>
  </conditionalFormatting>
  <conditionalFormatting sqref="A27">
    <cfRule type="cellIs" dxfId="1692" priority="316" operator="equal">
      <formula>""</formula>
    </cfRule>
  </conditionalFormatting>
  <conditionalFormatting sqref="A28">
    <cfRule type="cellIs" dxfId="1691" priority="315" operator="equal">
      <formula>""</formula>
    </cfRule>
  </conditionalFormatting>
  <conditionalFormatting sqref="A29">
    <cfRule type="cellIs" dxfId="1690" priority="314" operator="equal">
      <formula>""</formula>
    </cfRule>
  </conditionalFormatting>
  <conditionalFormatting sqref="A30">
    <cfRule type="cellIs" dxfId="1689" priority="313" operator="equal">
      <formula>""</formula>
    </cfRule>
  </conditionalFormatting>
  <conditionalFormatting sqref="A31">
    <cfRule type="cellIs" dxfId="1688" priority="312" operator="equal">
      <formula>""</formula>
    </cfRule>
  </conditionalFormatting>
  <conditionalFormatting sqref="A32">
    <cfRule type="cellIs" dxfId="1687" priority="311" operator="equal">
      <formula>""</formula>
    </cfRule>
  </conditionalFormatting>
  <conditionalFormatting sqref="A33">
    <cfRule type="cellIs" dxfId="1686" priority="310" operator="equal">
      <formula>""</formula>
    </cfRule>
  </conditionalFormatting>
  <conditionalFormatting sqref="A34">
    <cfRule type="cellIs" dxfId="1685" priority="309" operator="equal">
      <formula>""</formula>
    </cfRule>
  </conditionalFormatting>
  <conditionalFormatting sqref="A35">
    <cfRule type="cellIs" dxfId="1684" priority="308" operator="equal">
      <formula>""</formula>
    </cfRule>
  </conditionalFormatting>
  <conditionalFormatting sqref="A36">
    <cfRule type="cellIs" dxfId="1683" priority="307" operator="equal">
      <formula>""</formula>
    </cfRule>
  </conditionalFormatting>
  <conditionalFormatting sqref="A37">
    <cfRule type="cellIs" dxfId="1682" priority="306" operator="equal">
      <formula>""</formula>
    </cfRule>
  </conditionalFormatting>
  <conditionalFormatting sqref="A38">
    <cfRule type="cellIs" dxfId="1681" priority="305" operator="equal">
      <formula>""</formula>
    </cfRule>
  </conditionalFormatting>
  <conditionalFormatting sqref="A39">
    <cfRule type="cellIs" dxfId="1680" priority="304" operator="equal">
      <formula>""</formula>
    </cfRule>
  </conditionalFormatting>
  <conditionalFormatting sqref="A40">
    <cfRule type="cellIs" dxfId="1679" priority="303" operator="equal">
      <formula>""</formula>
    </cfRule>
  </conditionalFormatting>
  <conditionalFormatting sqref="A41">
    <cfRule type="cellIs" dxfId="1678" priority="302" operator="equal">
      <formula>""</formula>
    </cfRule>
  </conditionalFormatting>
  <conditionalFormatting sqref="A42">
    <cfRule type="cellIs" dxfId="1677" priority="301" operator="equal">
      <formula>""</formula>
    </cfRule>
  </conditionalFormatting>
  <conditionalFormatting sqref="A43">
    <cfRule type="cellIs" dxfId="1676" priority="300" operator="equal">
      <formula>""</formula>
    </cfRule>
  </conditionalFormatting>
  <conditionalFormatting sqref="A44">
    <cfRule type="cellIs" dxfId="1675" priority="299" operator="equal">
      <formula>""</formula>
    </cfRule>
  </conditionalFormatting>
  <conditionalFormatting sqref="A45">
    <cfRule type="cellIs" dxfId="1674" priority="297" operator="equal">
      <formula>""</formula>
    </cfRule>
  </conditionalFormatting>
  <conditionalFormatting sqref="A46">
    <cfRule type="cellIs" dxfId="1673" priority="295" operator="equal">
      <formula>""</formula>
    </cfRule>
  </conditionalFormatting>
  <conditionalFormatting sqref="A47">
    <cfRule type="cellIs" dxfId="1672" priority="294" operator="equal">
      <formula>""</formula>
    </cfRule>
  </conditionalFormatting>
  <conditionalFormatting sqref="A48">
    <cfRule type="cellIs" dxfId="1671" priority="293" operator="equal">
      <formula>""</formula>
    </cfRule>
  </conditionalFormatting>
  <conditionalFormatting sqref="A49">
    <cfRule type="cellIs" dxfId="1670" priority="292" operator="equal">
      <formula>""</formula>
    </cfRule>
  </conditionalFormatting>
  <conditionalFormatting sqref="A50">
    <cfRule type="cellIs" dxfId="1669" priority="291" operator="equal">
      <formula>""</formula>
    </cfRule>
  </conditionalFormatting>
  <conditionalFormatting sqref="A51">
    <cfRule type="cellIs" dxfId="1668" priority="290" operator="equal">
      <formula>""</formula>
    </cfRule>
  </conditionalFormatting>
  <conditionalFormatting sqref="A52">
    <cfRule type="cellIs" dxfId="1667" priority="289" operator="equal">
      <formula>""</formula>
    </cfRule>
  </conditionalFormatting>
  <conditionalFormatting sqref="A53">
    <cfRule type="cellIs" dxfId="1666" priority="288" operator="equal">
      <formula>""</formula>
    </cfRule>
  </conditionalFormatting>
  <conditionalFormatting sqref="A54">
    <cfRule type="cellIs" dxfId="1665" priority="287" operator="equal">
      <formula>""</formula>
    </cfRule>
  </conditionalFormatting>
  <conditionalFormatting sqref="A56">
    <cfRule type="cellIs" dxfId="1664" priority="286" operator="equal">
      <formula>""</formula>
    </cfRule>
  </conditionalFormatting>
  <conditionalFormatting sqref="A55">
    <cfRule type="cellIs" dxfId="1663" priority="285" operator="equal">
      <formula>""</formula>
    </cfRule>
  </conditionalFormatting>
  <conditionalFormatting sqref="A57">
    <cfRule type="cellIs" dxfId="1662" priority="284" operator="equal">
      <formula>""</formula>
    </cfRule>
  </conditionalFormatting>
  <conditionalFormatting sqref="A58">
    <cfRule type="cellIs" dxfId="1661" priority="283" operator="equal">
      <formula>""</formula>
    </cfRule>
  </conditionalFormatting>
  <conditionalFormatting sqref="A59">
    <cfRule type="cellIs" dxfId="1660" priority="282" operator="equal">
      <formula>""</formula>
    </cfRule>
  </conditionalFormatting>
  <conditionalFormatting sqref="A60">
    <cfRule type="cellIs" dxfId="1659" priority="281" operator="equal">
      <formula>""</formula>
    </cfRule>
  </conditionalFormatting>
  <conditionalFormatting sqref="A61">
    <cfRule type="cellIs" dxfId="1658" priority="280" operator="equal">
      <formula>""</formula>
    </cfRule>
  </conditionalFormatting>
  <conditionalFormatting sqref="A62">
    <cfRule type="cellIs" dxfId="1657" priority="279" operator="equal">
      <formula>""</formula>
    </cfRule>
  </conditionalFormatting>
  <conditionalFormatting sqref="A63">
    <cfRule type="cellIs" dxfId="1656" priority="278" operator="equal">
      <formula>""</formula>
    </cfRule>
  </conditionalFormatting>
  <conditionalFormatting sqref="A64">
    <cfRule type="cellIs" dxfId="1655" priority="277" operator="equal">
      <formula>""</formula>
    </cfRule>
  </conditionalFormatting>
  <conditionalFormatting sqref="A65">
    <cfRule type="cellIs" dxfId="1654" priority="276" operator="equal">
      <formula>""</formula>
    </cfRule>
  </conditionalFormatting>
  <conditionalFormatting sqref="A66">
    <cfRule type="cellIs" dxfId="1653" priority="275" operator="equal">
      <formula>""</formula>
    </cfRule>
  </conditionalFormatting>
  <conditionalFormatting sqref="A67">
    <cfRule type="cellIs" dxfId="1652" priority="274" operator="equal">
      <formula>""</formula>
    </cfRule>
  </conditionalFormatting>
  <conditionalFormatting sqref="A69">
    <cfRule type="cellIs" dxfId="1651" priority="273" operator="equal">
      <formula>""</formula>
    </cfRule>
  </conditionalFormatting>
  <conditionalFormatting sqref="A68">
    <cfRule type="cellIs" dxfId="1650" priority="272" operator="equal">
      <formula>""</formula>
    </cfRule>
  </conditionalFormatting>
  <conditionalFormatting sqref="A70">
    <cfRule type="cellIs" dxfId="1649" priority="271" operator="equal">
      <formula>""</formula>
    </cfRule>
  </conditionalFormatting>
  <conditionalFormatting sqref="A72">
    <cfRule type="cellIs" dxfId="1648" priority="270" operator="equal">
      <formula>""</formula>
    </cfRule>
  </conditionalFormatting>
  <conditionalFormatting sqref="A71">
    <cfRule type="cellIs" dxfId="1647" priority="269" operator="equal">
      <formula>""</formula>
    </cfRule>
  </conditionalFormatting>
  <conditionalFormatting sqref="A73">
    <cfRule type="cellIs" dxfId="1646" priority="268" operator="equal">
      <formula>""</formula>
    </cfRule>
  </conditionalFormatting>
  <conditionalFormatting sqref="A74">
    <cfRule type="cellIs" dxfId="1645" priority="267" operator="equal">
      <formula>""</formula>
    </cfRule>
  </conditionalFormatting>
  <conditionalFormatting sqref="A75">
    <cfRule type="cellIs" dxfId="1644" priority="266" operator="equal">
      <formula>""</formula>
    </cfRule>
  </conditionalFormatting>
  <conditionalFormatting sqref="A76">
    <cfRule type="cellIs" dxfId="1643" priority="265" operator="equal">
      <formula>""</formula>
    </cfRule>
  </conditionalFormatting>
  <conditionalFormatting sqref="A77">
    <cfRule type="cellIs" dxfId="1642" priority="264" operator="equal">
      <formula>""</formula>
    </cfRule>
  </conditionalFormatting>
  <conditionalFormatting sqref="A78">
    <cfRule type="cellIs" dxfId="1641" priority="263" operator="equal">
      <formula>""</formula>
    </cfRule>
  </conditionalFormatting>
  <conditionalFormatting sqref="A79">
    <cfRule type="cellIs" dxfId="1640" priority="262" operator="equal">
      <formula>""</formula>
    </cfRule>
  </conditionalFormatting>
  <conditionalFormatting sqref="A80">
    <cfRule type="cellIs" dxfId="1639" priority="261" operator="equal">
      <formula>""</formula>
    </cfRule>
  </conditionalFormatting>
  <conditionalFormatting sqref="A81">
    <cfRule type="cellIs" dxfId="1638" priority="260" operator="equal">
      <formula>""</formula>
    </cfRule>
  </conditionalFormatting>
  <conditionalFormatting sqref="A82">
    <cfRule type="cellIs" dxfId="1637" priority="259" operator="equal">
      <formula>""</formula>
    </cfRule>
  </conditionalFormatting>
  <conditionalFormatting sqref="A83">
    <cfRule type="cellIs" dxfId="1636" priority="258" operator="equal">
      <formula>""</formula>
    </cfRule>
  </conditionalFormatting>
  <conditionalFormatting sqref="A84">
    <cfRule type="cellIs" dxfId="1635" priority="256" operator="equal">
      <formula>""</formula>
    </cfRule>
  </conditionalFormatting>
  <conditionalFormatting sqref="A85">
    <cfRule type="cellIs" dxfId="1634" priority="255" operator="equal">
      <formula>""</formula>
    </cfRule>
  </conditionalFormatting>
  <conditionalFormatting sqref="A86">
    <cfRule type="cellIs" dxfId="1633" priority="254" operator="equal">
      <formula>""</formula>
    </cfRule>
  </conditionalFormatting>
  <conditionalFormatting sqref="B85">
    <cfRule type="cellIs" dxfId="1632" priority="252" operator="equal">
      <formula>""</formula>
    </cfRule>
  </conditionalFormatting>
  <conditionalFormatting sqref="B84">
    <cfRule type="cellIs" dxfId="1631" priority="251" operator="equal">
      <formula>""</formula>
    </cfRule>
  </conditionalFormatting>
  <conditionalFormatting sqref="B86">
    <cfRule type="cellIs" dxfId="1630" priority="250" operator="equal">
      <formula>""</formula>
    </cfRule>
  </conditionalFormatting>
  <conditionalFormatting sqref="C86">
    <cfRule type="cellIs" dxfId="1629" priority="249" operator="equal">
      <formula>""</formula>
    </cfRule>
  </conditionalFormatting>
  <conditionalFormatting sqref="C85">
    <cfRule type="cellIs" dxfId="1628" priority="248" operator="equal">
      <formula>""</formula>
    </cfRule>
  </conditionalFormatting>
  <conditionalFormatting sqref="C84">
    <cfRule type="cellIs" dxfId="1627" priority="247" operator="equal">
      <formula>""</formula>
    </cfRule>
  </conditionalFormatting>
  <conditionalFormatting sqref="E84">
    <cfRule type="cellIs" dxfId="1626" priority="246" operator="equal">
      <formula>""</formula>
    </cfRule>
  </conditionalFormatting>
  <conditionalFormatting sqref="E85">
    <cfRule type="cellIs" dxfId="1625" priority="245" operator="equal">
      <formula>""</formula>
    </cfRule>
  </conditionalFormatting>
  <conditionalFormatting sqref="E86">
    <cfRule type="cellIs" dxfId="1624" priority="244" operator="equal">
      <formula>""</formula>
    </cfRule>
  </conditionalFormatting>
  <conditionalFormatting sqref="L86">
    <cfRule type="cellIs" dxfId="1623" priority="243" operator="equal">
      <formula>""</formula>
    </cfRule>
  </conditionalFormatting>
  <conditionalFormatting sqref="L85">
    <cfRule type="cellIs" dxfId="1622" priority="242" operator="equal">
      <formula>""</formula>
    </cfRule>
  </conditionalFormatting>
  <conditionalFormatting sqref="L84">
    <cfRule type="cellIs" dxfId="1621" priority="241" operator="equal">
      <formula>""</formula>
    </cfRule>
  </conditionalFormatting>
  <conditionalFormatting sqref="M84">
    <cfRule type="cellIs" dxfId="1620" priority="240" operator="equal">
      <formula>""</formula>
    </cfRule>
  </conditionalFormatting>
  <conditionalFormatting sqref="M85">
    <cfRule type="cellIs" dxfId="1619" priority="239" operator="equal">
      <formula>""</formula>
    </cfRule>
  </conditionalFormatting>
  <conditionalFormatting sqref="M86">
    <cfRule type="cellIs" dxfId="1618" priority="238" operator="equal">
      <formula>""</formula>
    </cfRule>
  </conditionalFormatting>
  <conditionalFormatting sqref="A26">
    <cfRule type="cellIs" dxfId="1617" priority="200" operator="equal">
      <formula>""</formula>
    </cfRule>
  </conditionalFormatting>
  <conditionalFormatting sqref="D86">
    <cfRule type="cellIs" dxfId="1616" priority="199" operator="equal">
      <formula>""</formula>
    </cfRule>
  </conditionalFormatting>
  <conditionalFormatting sqref="D85">
    <cfRule type="cellIs" dxfId="1615" priority="198" operator="equal">
      <formula>""</formula>
    </cfRule>
  </conditionalFormatting>
  <conditionalFormatting sqref="D84">
    <cfRule type="cellIs" dxfId="1614" priority="197" operator="equal">
      <formula>""</formula>
    </cfRule>
  </conditionalFormatting>
  <conditionalFormatting sqref="T24:AB24">
    <cfRule type="duplicateValues" dxfId="1613" priority="932"/>
  </conditionalFormatting>
  <conditionalFormatting sqref="AD24:AM24">
    <cfRule type="duplicateValues" dxfId="1612" priority="191"/>
  </conditionalFormatting>
  <conditionalFormatting sqref="T25:AB25">
    <cfRule type="duplicateValues" dxfId="1611" priority="190"/>
  </conditionalFormatting>
  <conditionalFormatting sqref="AD25:AL25">
    <cfRule type="duplicateValues" dxfId="1610" priority="189"/>
  </conditionalFormatting>
  <conditionalFormatting sqref="T40">
    <cfRule type="duplicateValues" dxfId="1609" priority="188"/>
  </conditionalFormatting>
  <conditionalFormatting sqref="Y40">
    <cfRule type="duplicateValues" dxfId="1608" priority="187"/>
  </conditionalFormatting>
  <conditionalFormatting sqref="V40">
    <cfRule type="duplicateValues" dxfId="1607" priority="186"/>
  </conditionalFormatting>
  <conditionalFormatting sqref="U40">
    <cfRule type="duplicateValues" dxfId="1606" priority="185"/>
  </conditionalFormatting>
  <conditionalFormatting sqref="AA40">
    <cfRule type="duplicateValues" dxfId="1605" priority="184"/>
  </conditionalFormatting>
  <conditionalFormatting sqref="Z40">
    <cfRule type="duplicateValues" dxfId="1604" priority="183"/>
  </conditionalFormatting>
  <conditionalFormatting sqref="W40">
    <cfRule type="duplicateValues" dxfId="1603" priority="182"/>
  </conditionalFormatting>
  <conditionalFormatting sqref="AC40">
    <cfRule type="duplicateValues" dxfId="1602" priority="181"/>
  </conditionalFormatting>
  <conditionalFormatting sqref="T33:AB33 AD33:AL33">
    <cfRule type="duplicateValues" dxfId="1601" priority="174"/>
  </conditionalFormatting>
  <conditionalFormatting sqref="AC33">
    <cfRule type="duplicateValues" dxfId="1600" priority="173"/>
  </conditionalFormatting>
  <conditionalFormatting sqref="AD34:AL34 T34:AB34">
    <cfRule type="duplicateValues" dxfId="1599" priority="175"/>
  </conditionalFormatting>
  <conditionalFormatting sqref="T35:AL35">
    <cfRule type="duplicateValues" dxfId="1598" priority="176"/>
  </conditionalFormatting>
  <conditionalFormatting sqref="T36:AM36">
    <cfRule type="duplicateValues" dxfId="1597" priority="177"/>
  </conditionalFormatting>
  <conditionalFormatting sqref="AD38:AM38">
    <cfRule type="duplicateValues" dxfId="1596" priority="169"/>
  </conditionalFormatting>
  <conditionalFormatting sqref="T38:AC38">
    <cfRule type="duplicateValues" dxfId="1595" priority="179"/>
  </conditionalFormatting>
  <conditionalFormatting sqref="AD39:AL39">
    <cfRule type="duplicateValues" dxfId="1594" priority="168"/>
  </conditionalFormatting>
  <conditionalFormatting sqref="AC39">
    <cfRule type="duplicateValues" dxfId="1593" priority="167"/>
  </conditionalFormatting>
  <conditionalFormatting sqref="AM39">
    <cfRule type="duplicateValues" dxfId="1592" priority="166"/>
  </conditionalFormatting>
  <conditionalFormatting sqref="T39:AB39">
    <cfRule type="duplicateValues" dxfId="1591" priority="180"/>
  </conditionalFormatting>
  <conditionalFormatting sqref="T41">
    <cfRule type="duplicateValues" dxfId="1590" priority="165"/>
  </conditionalFormatting>
  <conditionalFormatting sqref="W41">
    <cfRule type="duplicateValues" dxfId="1589" priority="164"/>
  </conditionalFormatting>
  <conditionalFormatting sqref="V41">
    <cfRule type="duplicateValues" dxfId="1588" priority="163"/>
  </conditionalFormatting>
  <conditionalFormatting sqref="U41">
    <cfRule type="duplicateValues" dxfId="1587" priority="162"/>
  </conditionalFormatting>
  <conditionalFormatting sqref="Y41">
    <cfRule type="duplicateValues" dxfId="1586" priority="161"/>
  </conditionalFormatting>
  <conditionalFormatting sqref="AA41">
    <cfRule type="duplicateValues" dxfId="1585" priority="160"/>
  </conditionalFormatting>
  <conditionalFormatting sqref="Z41">
    <cfRule type="duplicateValues" dxfId="1584" priority="159"/>
  </conditionalFormatting>
  <conditionalFormatting sqref="AC41">
    <cfRule type="duplicateValues" dxfId="1583" priority="158"/>
  </conditionalFormatting>
  <conditionalFormatting sqref="T42">
    <cfRule type="duplicateValues" dxfId="1582" priority="157"/>
  </conditionalFormatting>
  <conditionalFormatting sqref="U42">
    <cfRule type="duplicateValues" dxfId="1581" priority="156"/>
  </conditionalFormatting>
  <conditionalFormatting sqref="V42">
    <cfRule type="duplicateValues" dxfId="1580" priority="155"/>
  </conditionalFormatting>
  <conditionalFormatting sqref="W42">
    <cfRule type="duplicateValues" dxfId="1579" priority="154"/>
  </conditionalFormatting>
  <conditionalFormatting sqref="X42">
    <cfRule type="duplicateValues" dxfId="1578" priority="153"/>
  </conditionalFormatting>
  <conditionalFormatting sqref="Y42">
    <cfRule type="duplicateValues" dxfId="1577" priority="152"/>
  </conditionalFormatting>
  <conditionalFormatting sqref="Z42">
    <cfRule type="duplicateValues" dxfId="1576" priority="151"/>
  </conditionalFormatting>
  <conditionalFormatting sqref="AA42">
    <cfRule type="duplicateValues" dxfId="1575" priority="150"/>
  </conditionalFormatting>
  <conditionalFormatting sqref="AB42">
    <cfRule type="duplicateValues" dxfId="1574" priority="149"/>
  </conditionalFormatting>
  <conditionalFormatting sqref="AC42">
    <cfRule type="duplicateValues" dxfId="1573" priority="148"/>
  </conditionalFormatting>
  <conditionalFormatting sqref="Y30:AC30 T30:W30">
    <cfRule type="duplicateValues" dxfId="1572" priority="147"/>
  </conditionalFormatting>
  <conditionalFormatting sqref="T43:AB43">
    <cfRule type="duplicateValues" dxfId="1571" priority="146"/>
  </conditionalFormatting>
  <conditionalFormatting sqref="AD43:AL43">
    <cfRule type="duplicateValues" dxfId="1570" priority="145"/>
  </conditionalFormatting>
  <conditionalFormatting sqref="AD45:AL45">
    <cfRule type="duplicateValues" dxfId="1569" priority="141"/>
  </conditionalFormatting>
  <conditionalFormatting sqref="T45:AB45">
    <cfRule type="duplicateValues" dxfId="1568" priority="142"/>
  </conditionalFormatting>
  <conditionalFormatting sqref="AX45:BF45">
    <cfRule type="duplicateValues" dxfId="1567" priority="139"/>
  </conditionalFormatting>
  <conditionalFormatting sqref="AN45:AV45">
    <cfRule type="duplicateValues" dxfId="1566" priority="140"/>
  </conditionalFormatting>
  <conditionalFormatting sqref="BR45:BZ45">
    <cfRule type="duplicateValues" dxfId="1565" priority="137"/>
  </conditionalFormatting>
  <conditionalFormatting sqref="BI45:BP45">
    <cfRule type="duplicateValues" dxfId="1564" priority="138"/>
  </conditionalFormatting>
  <conditionalFormatting sqref="CC45:CJ45">
    <cfRule type="duplicateValues" dxfId="1563" priority="143"/>
  </conditionalFormatting>
  <conditionalFormatting sqref="CL45:CT45">
    <cfRule type="duplicateValues" dxfId="1562" priority="144"/>
  </conditionalFormatting>
  <conditionalFormatting sqref="CW45:DD45">
    <cfRule type="duplicateValues" dxfId="1561" priority="135"/>
  </conditionalFormatting>
  <conditionalFormatting sqref="DF45:DN45">
    <cfRule type="duplicateValues" dxfId="1560" priority="136"/>
  </conditionalFormatting>
  <conditionalFormatting sqref="DQ45:DX45">
    <cfRule type="duplicateValues" dxfId="1559" priority="134"/>
  </conditionalFormatting>
  <conditionalFormatting sqref="DZ45:EH45">
    <cfRule type="duplicateValues" dxfId="1558" priority="133"/>
  </conditionalFormatting>
  <conditionalFormatting sqref="EK45:ER45">
    <cfRule type="duplicateValues" dxfId="1557" priority="132"/>
  </conditionalFormatting>
  <conditionalFormatting sqref="ET45:FB45">
    <cfRule type="duplicateValues" dxfId="1556" priority="131"/>
  </conditionalFormatting>
  <conditionalFormatting sqref="FE45:FL45">
    <cfRule type="duplicateValues" dxfId="1555" priority="130"/>
  </conditionalFormatting>
  <conditionalFormatting sqref="FN45:FV45">
    <cfRule type="duplicateValues" dxfId="1554" priority="129"/>
  </conditionalFormatting>
  <conditionalFormatting sqref="FY45:GF45">
    <cfRule type="duplicateValues" dxfId="1553" priority="128"/>
  </conditionalFormatting>
  <conditionalFormatting sqref="GH45:GP45">
    <cfRule type="duplicateValues" dxfId="1552" priority="127"/>
  </conditionalFormatting>
  <conditionalFormatting sqref="GS45:GZ45">
    <cfRule type="duplicateValues" dxfId="1551" priority="126"/>
  </conditionalFormatting>
  <conditionalFormatting sqref="HB45:HJ45">
    <cfRule type="duplicateValues" dxfId="1550" priority="125"/>
  </conditionalFormatting>
  <conditionalFormatting sqref="HM45:HT45">
    <cfRule type="duplicateValues" dxfId="1549" priority="124"/>
  </conditionalFormatting>
  <conditionalFormatting sqref="HV45:ID45">
    <cfRule type="duplicateValues" dxfId="1548" priority="123"/>
  </conditionalFormatting>
  <conditionalFormatting sqref="IG45:IN45">
    <cfRule type="duplicateValues" dxfId="1547" priority="122"/>
  </conditionalFormatting>
  <conditionalFormatting sqref="IP45:IX45">
    <cfRule type="duplicateValues" dxfId="1546" priority="121"/>
  </conditionalFormatting>
  <conditionalFormatting sqref="JA45:JH45">
    <cfRule type="duplicateValues" dxfId="1545" priority="120"/>
  </conditionalFormatting>
  <conditionalFormatting sqref="JJ45:JR45">
    <cfRule type="duplicateValues" dxfId="1544" priority="119"/>
  </conditionalFormatting>
  <conditionalFormatting sqref="JU45:KB45">
    <cfRule type="duplicateValues" dxfId="1543" priority="118"/>
  </conditionalFormatting>
  <conditionalFormatting sqref="KD45:KL45">
    <cfRule type="duplicateValues" dxfId="1542" priority="117"/>
  </conditionalFormatting>
  <conditionalFormatting sqref="KX45:LF45">
    <cfRule type="duplicateValues" dxfId="1541" priority="116"/>
  </conditionalFormatting>
  <conditionalFormatting sqref="KO45:KV45">
    <cfRule type="duplicateValues" dxfId="1540" priority="115"/>
  </conditionalFormatting>
  <conditionalFormatting sqref="LI45:LP45">
    <cfRule type="duplicateValues" dxfId="1539" priority="114"/>
  </conditionalFormatting>
  <conditionalFormatting sqref="LR45:LZ45">
    <cfRule type="duplicateValues" dxfId="1538" priority="113"/>
  </conditionalFormatting>
  <conditionalFormatting sqref="MC45:MJ45">
    <cfRule type="duplicateValues" dxfId="1537" priority="112"/>
  </conditionalFormatting>
  <conditionalFormatting sqref="ML45:MT45">
    <cfRule type="duplicateValues" dxfId="1536" priority="111"/>
  </conditionalFormatting>
  <conditionalFormatting sqref="MW45:ND45">
    <cfRule type="duplicateValues" dxfId="1535" priority="110"/>
  </conditionalFormatting>
  <conditionalFormatting sqref="NF45:NN45">
    <cfRule type="duplicateValues" dxfId="1534" priority="109"/>
  </conditionalFormatting>
  <conditionalFormatting sqref="NQ45:NX45">
    <cfRule type="duplicateValues" dxfId="1533" priority="108"/>
  </conditionalFormatting>
  <conditionalFormatting sqref="NZ45:OH45">
    <cfRule type="duplicateValues" dxfId="1532" priority="107"/>
  </conditionalFormatting>
  <conditionalFormatting sqref="OK45:OR45">
    <cfRule type="duplicateValues" dxfId="1531" priority="106"/>
  </conditionalFormatting>
  <conditionalFormatting sqref="OT45:PB45">
    <cfRule type="duplicateValues" dxfId="1530" priority="105"/>
  </conditionalFormatting>
  <conditionalFormatting sqref="PE45:PL45">
    <cfRule type="duplicateValues" dxfId="1529" priority="104"/>
  </conditionalFormatting>
  <conditionalFormatting sqref="PN45:PV45">
    <cfRule type="duplicateValues" dxfId="1528" priority="103"/>
  </conditionalFormatting>
  <conditionalFormatting sqref="AD46:AL46 T46:AB46">
    <cfRule type="duplicateValues" dxfId="1527" priority="102"/>
  </conditionalFormatting>
  <conditionalFormatting sqref="BH45">
    <cfRule type="duplicateValues" dxfId="1526" priority="101"/>
  </conditionalFormatting>
  <conditionalFormatting sqref="CB45">
    <cfRule type="duplicateValues" dxfId="1525" priority="100"/>
  </conditionalFormatting>
  <conditionalFormatting sqref="CV45">
    <cfRule type="duplicateValues" dxfId="1524" priority="99"/>
  </conditionalFormatting>
  <conditionalFormatting sqref="DP45">
    <cfRule type="duplicateValues" dxfId="1523" priority="98"/>
  </conditionalFormatting>
  <conditionalFormatting sqref="EJ45">
    <cfRule type="duplicateValues" dxfId="1522" priority="97"/>
  </conditionalFormatting>
  <conditionalFormatting sqref="FD45">
    <cfRule type="duplicateValues" dxfId="1521" priority="96"/>
  </conditionalFormatting>
  <conditionalFormatting sqref="FX45">
    <cfRule type="duplicateValues" dxfId="1520" priority="95"/>
  </conditionalFormatting>
  <conditionalFormatting sqref="GR45">
    <cfRule type="duplicateValues" dxfId="1519" priority="94"/>
  </conditionalFormatting>
  <conditionalFormatting sqref="HL45">
    <cfRule type="duplicateValues" dxfId="1518" priority="93"/>
  </conditionalFormatting>
  <conditionalFormatting sqref="IF45">
    <cfRule type="duplicateValues" dxfId="1517" priority="92"/>
  </conditionalFormatting>
  <conditionalFormatting sqref="IZ45">
    <cfRule type="duplicateValues" dxfId="1516" priority="91"/>
  </conditionalFormatting>
  <conditionalFormatting sqref="JT45">
    <cfRule type="duplicateValues" dxfId="1515" priority="90"/>
  </conditionalFormatting>
  <conditionalFormatting sqref="KN45">
    <cfRule type="duplicateValues" dxfId="1514" priority="89"/>
  </conditionalFormatting>
  <conditionalFormatting sqref="LH45">
    <cfRule type="duplicateValues" dxfId="1513" priority="88"/>
  </conditionalFormatting>
  <conditionalFormatting sqref="MB45">
    <cfRule type="duplicateValues" dxfId="1512" priority="87"/>
  </conditionalFormatting>
  <conditionalFormatting sqref="MV45">
    <cfRule type="duplicateValues" dxfId="1511" priority="86"/>
  </conditionalFormatting>
  <conditionalFormatting sqref="NP45">
    <cfRule type="duplicateValues" dxfId="1510" priority="85"/>
  </conditionalFormatting>
  <conditionalFormatting sqref="OJ45">
    <cfRule type="duplicateValues" dxfId="1509" priority="84"/>
  </conditionalFormatting>
  <conditionalFormatting sqref="PD45">
    <cfRule type="duplicateValues" dxfId="1508" priority="83"/>
  </conditionalFormatting>
  <conditionalFormatting sqref="AX46:BF46 AN46:AV46">
    <cfRule type="duplicateValues" dxfId="1507" priority="82"/>
  </conditionalFormatting>
  <conditionalFormatting sqref="BR46:BZ46 BH46:BP46">
    <cfRule type="duplicateValues" dxfId="1506" priority="81"/>
  </conditionalFormatting>
  <conditionalFormatting sqref="CL46:CT46 CB46:CJ46">
    <cfRule type="duplicateValues" dxfId="1505" priority="80"/>
  </conditionalFormatting>
  <conditionalFormatting sqref="DF46:DN46 CV46:DD46">
    <cfRule type="duplicateValues" dxfId="1504" priority="79"/>
  </conditionalFormatting>
  <conditionalFormatting sqref="DZ46:EH46 DP46:DX46">
    <cfRule type="duplicateValues" dxfId="1503" priority="78"/>
  </conditionalFormatting>
  <conditionalFormatting sqref="ET46:FB46 EJ46:ER46">
    <cfRule type="duplicateValues" dxfId="1502" priority="77"/>
  </conditionalFormatting>
  <conditionalFormatting sqref="D44">
    <cfRule type="duplicateValues" dxfId="1501" priority="76"/>
  </conditionalFormatting>
  <conditionalFormatting sqref="T47:AC47">
    <cfRule type="duplicateValues" dxfId="1500" priority="75"/>
  </conditionalFormatting>
  <conditionalFormatting sqref="T48:AC48">
    <cfRule type="duplicateValues" dxfId="1499" priority="74"/>
  </conditionalFormatting>
  <conditionalFormatting sqref="T49:AC49">
    <cfRule type="duplicateValues" dxfId="1498" priority="73"/>
  </conditionalFormatting>
  <conditionalFormatting sqref="T50:AB50">
    <cfRule type="duplicateValues" dxfId="1497" priority="72"/>
  </conditionalFormatting>
  <conditionalFormatting sqref="AC50">
    <cfRule type="duplicateValues" dxfId="1496" priority="71"/>
  </conditionalFormatting>
  <conditionalFormatting sqref="T51:AB51">
    <cfRule type="duplicateValues" dxfId="1495" priority="70"/>
  </conditionalFormatting>
  <conditionalFormatting sqref="AC51">
    <cfRule type="duplicateValues" dxfId="1494" priority="69"/>
  </conditionalFormatting>
  <conditionalFormatting sqref="T52:AB52">
    <cfRule type="duplicateValues" dxfId="1493" priority="68"/>
  </conditionalFormatting>
  <conditionalFormatting sqref="AC52">
    <cfRule type="duplicateValues" dxfId="1492" priority="67"/>
  </conditionalFormatting>
  <conditionalFormatting sqref="T55:AC55">
    <cfRule type="duplicateValues" dxfId="1491" priority="66"/>
  </conditionalFormatting>
  <conditionalFormatting sqref="D53">
    <cfRule type="duplicateValues" dxfId="1490" priority="65"/>
  </conditionalFormatting>
  <conditionalFormatting sqref="D54">
    <cfRule type="duplicateValues" dxfId="1489" priority="64"/>
  </conditionalFormatting>
  <conditionalFormatting sqref="T56:AB56">
    <cfRule type="duplicateValues" dxfId="1488" priority="63"/>
  </conditionalFormatting>
  <conditionalFormatting sqref="T57:AC57">
    <cfRule type="duplicateValues" dxfId="1487" priority="62"/>
  </conditionalFormatting>
  <conditionalFormatting sqref="T58:AC58">
    <cfRule type="duplicateValues" dxfId="1486" priority="61"/>
  </conditionalFormatting>
  <conditionalFormatting sqref="T59:AB59">
    <cfRule type="duplicateValues" dxfId="1485" priority="60"/>
  </conditionalFormatting>
  <conditionalFormatting sqref="AC59">
    <cfRule type="duplicateValues" dxfId="1484" priority="59"/>
  </conditionalFormatting>
  <conditionalFormatting sqref="AC60">
    <cfRule type="duplicateValues" dxfId="1483" priority="58"/>
  </conditionalFormatting>
  <conditionalFormatting sqref="T60:AB60">
    <cfRule type="duplicateValues" dxfId="1482" priority="57"/>
  </conditionalFormatting>
  <conditionalFormatting sqref="T62:AB62">
    <cfRule type="duplicateValues" dxfId="1481" priority="56"/>
  </conditionalFormatting>
  <conditionalFormatting sqref="AD62:AL62">
    <cfRule type="duplicateValues" dxfId="1480" priority="55"/>
  </conditionalFormatting>
  <conditionalFormatting sqref="D61">
    <cfRule type="duplicateValues" dxfId="1479" priority="54"/>
  </conditionalFormatting>
  <conditionalFormatting sqref="T63:AC63">
    <cfRule type="duplicateValues" dxfId="1478" priority="53"/>
  </conditionalFormatting>
  <conditionalFormatting sqref="T64:AC64">
    <cfRule type="duplicateValues" dxfId="1477" priority="48"/>
  </conditionalFormatting>
  <conditionalFormatting sqref="T67:AC67">
    <cfRule type="duplicateValues" dxfId="1476" priority="47"/>
  </conditionalFormatting>
  <conditionalFormatting sqref="T65:AC65">
    <cfRule type="duplicateValues" dxfId="1475" priority="49"/>
  </conditionalFormatting>
  <conditionalFormatting sqref="T66:AC66">
    <cfRule type="duplicateValues" dxfId="1474" priority="50"/>
  </conditionalFormatting>
  <conditionalFormatting sqref="T68:AB68">
    <cfRule type="duplicateValues" dxfId="1473" priority="51"/>
  </conditionalFormatting>
  <conditionalFormatting sqref="T69:AB69">
    <cfRule type="duplicateValues" dxfId="1472" priority="46"/>
  </conditionalFormatting>
  <conditionalFormatting sqref="AC69">
    <cfRule type="duplicateValues" dxfId="1471" priority="45"/>
  </conditionalFormatting>
  <conditionalFormatting sqref="T70:AC70">
    <cfRule type="duplicateValues" dxfId="1470" priority="44"/>
  </conditionalFormatting>
  <conditionalFormatting sqref="U71:AC71">
    <cfRule type="duplicateValues" dxfId="1469" priority="43"/>
  </conditionalFormatting>
  <conditionalFormatting sqref="T71">
    <cfRule type="duplicateValues" dxfId="1468" priority="42"/>
  </conditionalFormatting>
  <conditionalFormatting sqref="T72:AB72">
    <cfRule type="duplicateValues" dxfId="1467" priority="41"/>
  </conditionalFormatting>
  <conditionalFormatting sqref="T73:AB73">
    <cfRule type="duplicateValues" dxfId="1466" priority="40"/>
  </conditionalFormatting>
  <conditionalFormatting sqref="T74:AB74">
    <cfRule type="duplicateValues" dxfId="1465" priority="39"/>
  </conditionalFormatting>
  <conditionalFormatting sqref="T75:AB75">
    <cfRule type="duplicateValues" dxfId="1464" priority="38"/>
  </conditionalFormatting>
  <conditionalFormatting sqref="T76:AB76">
    <cfRule type="duplicateValues" dxfId="1463" priority="37"/>
  </conditionalFormatting>
  <conditionalFormatting sqref="AC72">
    <cfRule type="duplicateValues" dxfId="1462" priority="36"/>
  </conditionalFormatting>
  <conditionalFormatting sqref="AC73">
    <cfRule type="duplicateValues" dxfId="1461" priority="35"/>
  </conditionalFormatting>
  <conditionalFormatting sqref="AC74">
    <cfRule type="duplicateValues" dxfId="1460" priority="34"/>
  </conditionalFormatting>
  <conditionalFormatting sqref="AC75">
    <cfRule type="duplicateValues" dxfId="1459" priority="33"/>
  </conditionalFormatting>
  <conditionalFormatting sqref="AC76">
    <cfRule type="duplicateValues" dxfId="1458" priority="32"/>
  </conditionalFormatting>
  <conditionalFormatting sqref="T78:AB78">
    <cfRule type="duplicateValues" dxfId="1457" priority="31"/>
  </conditionalFormatting>
  <conditionalFormatting sqref="AC78">
    <cfRule type="duplicateValues" dxfId="1456" priority="30"/>
  </conditionalFormatting>
  <conditionalFormatting sqref="T77:AC77">
    <cfRule type="duplicateValues" dxfId="1455" priority="52"/>
  </conditionalFormatting>
  <conditionalFormatting sqref="T79:AB79">
    <cfRule type="duplicateValues" dxfId="1454" priority="29"/>
  </conditionalFormatting>
  <conditionalFormatting sqref="AC79">
    <cfRule type="duplicateValues" dxfId="1453" priority="28"/>
  </conditionalFormatting>
  <conditionalFormatting sqref="T82:X82">
    <cfRule type="duplicateValues" dxfId="1452" priority="26"/>
  </conditionalFormatting>
  <conditionalFormatting sqref="T37:AC37">
    <cfRule type="duplicateValues" dxfId="1451" priority="15"/>
  </conditionalFormatting>
  <conditionalFormatting sqref="AM37">
    <cfRule type="duplicateValues" dxfId="1450" priority="14"/>
  </conditionalFormatting>
  <conditionalFormatting sqref="AD37:AL37">
    <cfRule type="duplicateValues" dxfId="1449" priority="13"/>
  </conditionalFormatting>
  <conditionalFormatting sqref="T83:AC83">
    <cfRule type="duplicateValues" dxfId="1448" priority="8"/>
  </conditionalFormatting>
  <conditionalFormatting sqref="AD83:AG83">
    <cfRule type="duplicateValues" dxfId="1447" priority="6"/>
  </conditionalFormatting>
  <conditionalFormatting sqref="AH83:AM83">
    <cfRule type="duplicateValues" dxfId="1446" priority="5"/>
  </conditionalFormatting>
  <conditionalFormatting sqref="I12">
    <cfRule type="expression" dxfId="1445" priority="3">
      <formula>$N$12=2</formula>
    </cfRule>
    <cfRule type="expression" dxfId="1444" priority="4">
      <formula>$N$12=1</formula>
    </cfRule>
  </conditionalFormatting>
  <conditionalFormatting sqref="L12">
    <cfRule type="expression" dxfId="1443" priority="1">
      <formula>$N$12=1</formula>
    </cfRule>
    <cfRule type="expression" dxfId="1442" priority="2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3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5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352425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6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7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8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9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0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14</xdr:row>
                    <xdr:rowOff>19050</xdr:rowOff>
                  </from>
                  <to>
                    <xdr:col>10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1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2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3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7" r:id="rId14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15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352425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16" name="Option Button 19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19050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17" name="Option Button 20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609600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18" name="Option Button 24">
              <controlPr defaultSize="0" autoFill="0" autoLine="0" autoPict="0">
                <anchor moveWithCells="1">
                  <from>
                    <xdr:col>7</xdr:col>
                    <xdr:colOff>676275</xdr:colOff>
                    <xdr:row>7</xdr:row>
                    <xdr:rowOff>9525</xdr:rowOff>
                  </from>
                  <to>
                    <xdr:col>8</xdr:col>
                    <xdr:colOff>457200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19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7" r:id="rId20" name="Option Button 27">
              <controlPr defaultSize="0" autoFill="0" autoLine="0" autoPict="0" altText="">
                <anchor moveWithCells="1">
                  <from>
                    <xdr:col>12</xdr:col>
                    <xdr:colOff>133350</xdr:colOff>
                    <xdr:row>13</xdr:row>
                    <xdr:rowOff>95250</xdr:rowOff>
                  </from>
                  <to>
                    <xdr:col>12</xdr:col>
                    <xdr:colOff>180975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0" r:id="rId21" name="Option Button 3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4" id="{DF8230CE-ADD9-4E9A-AA40-D631286C717F}">
            <xm:f>$H$28=Formeln!$A$1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H28:K28</xm:sqref>
        </x14:conditionalFormatting>
        <x14:conditionalFormatting xmlns:xm="http://schemas.microsoft.com/office/excel/2006/main">
          <x14:cfRule type="expression" priority="213" id="{B33BFCB1-BF57-4BA4-A60B-D7F6F2F3E0DE}">
            <xm:f>$H$29=Formeln!$A$1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H29:K29</xm:sqref>
        </x14:conditionalFormatting>
        <x14:conditionalFormatting xmlns:xm="http://schemas.microsoft.com/office/excel/2006/main">
          <x14:cfRule type="expression" priority="212" id="{FDEA581F-A08F-4CF0-935D-29003DC6FFDC}">
            <xm:f>$H$31=Formeln!$A$1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H31:K31</xm:sqref>
        </x14:conditionalFormatting>
        <x14:conditionalFormatting xmlns:xm="http://schemas.microsoft.com/office/excel/2006/main">
          <x14:cfRule type="expression" priority="211" id="{5054827F-3F89-4F5E-BD3C-14A0D9FF51E8}">
            <xm:f>$H$40=Formeln!$A$1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H40:K40</xm:sqref>
        </x14:conditionalFormatting>
        <x14:conditionalFormatting xmlns:xm="http://schemas.microsoft.com/office/excel/2006/main">
          <x14:cfRule type="expression" priority="210" id="{4343E594-C9CD-412F-B810-C27CB2A1BE1A}">
            <xm:f>$H$41=Formeln!$A$1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H41:K41</xm:sqref>
        </x14:conditionalFormatting>
        <x14:conditionalFormatting xmlns:xm="http://schemas.microsoft.com/office/excel/2006/main">
          <x14:cfRule type="expression" priority="208" id="{0A9A5985-76F0-45C5-87E9-69779D555FD4}">
            <xm:f>$J$45=Formeln!$A$1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J45:K45</xm:sqref>
        </x14:conditionalFormatting>
        <x14:conditionalFormatting xmlns:xm="http://schemas.microsoft.com/office/excel/2006/main">
          <x14:cfRule type="expression" priority="206" id="{7B87DBD6-A224-48E0-8490-0CE1A583E57D}">
            <xm:f>$J$46=Formeln!$A$1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J46:K46</xm:sqref>
        </x14:conditionalFormatting>
        <x14:conditionalFormatting xmlns:xm="http://schemas.microsoft.com/office/excel/2006/main">
          <x14:cfRule type="expression" priority="205" id="{0B44622C-2AAD-43A2-8797-E5B0772DCAF5}">
            <xm:f>$I$82=Formeln!$A$1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I82:K82</xm:sqref>
        </x14:conditionalFormatting>
        <x14:conditionalFormatting xmlns:xm="http://schemas.microsoft.com/office/excel/2006/main">
          <x14:cfRule type="expression" priority="204" id="{2763897B-9085-4785-A47A-0821D8E56D8D}">
            <xm:f>$I$83=Formeln!$A$1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I83</xm:sqref>
        </x14:conditionalFormatting>
        <x14:conditionalFormatting xmlns:xm="http://schemas.microsoft.com/office/excel/2006/main">
          <x14:cfRule type="expression" priority="202" id="{824E9F3A-CCEA-4B72-A9ED-6B6AB71B01F9}">
            <xm:f>$K$83=Formeln!$A$1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>
          <x14:formula1>
            <xm:f>Formeln!$A$132:$A$142</xm:f>
          </x14:formula1>
          <xm:sqref>K83</xm:sqref>
        </x14:dataValidation>
        <x14:dataValidation type="list" allowBlank="1" showInputMessage="1" showErrorMessage="1">
          <x14:formula1>
            <xm:f>Formeln!$A$27:$A$48</xm:f>
          </x14:formula1>
          <xm:sqref>J45:K45</xm:sqref>
        </x14:dataValidation>
        <x14:dataValidation type="list" allowBlank="1" showInputMessage="1" showErrorMessage="1">
          <x14:formula1>
            <xm:f>Formeln!$A$20:$A$22</xm:f>
          </x14:formula1>
          <xm:sqref>I83</xm:sqref>
        </x14:dataValidation>
        <x14:dataValidation type="list" allowBlank="1" showInputMessage="1" showErrorMessage="1">
          <x14:formula1>
            <xm:f>Formeln!$A$17:$A$19</xm:f>
          </x14:formula1>
          <xm:sqref>H41:K41</xm:sqref>
        </x14:dataValidation>
        <x14:dataValidation type="list" allowBlank="1" showInputMessage="1" showErrorMessage="1">
          <x14:formula1>
            <xm:f>Formeln!$A$14:$A$16</xm:f>
          </x14:formula1>
          <xm:sqref>H40:K40</xm:sqref>
        </x14:dataValidation>
        <x14:dataValidation type="list" allowBlank="1" showInputMessage="1" showErrorMessage="1">
          <x14:formula1>
            <xm:f>Formeln!$A$9:$A$11</xm:f>
          </x14:formula1>
          <xm:sqref>H31:K31</xm:sqref>
        </x14:dataValidation>
        <x14:dataValidation type="list" allowBlank="1" showInputMessage="1" showErrorMessage="1">
          <x14:formula1>
            <xm:f>Formeln!$A$5:$A$8</xm:f>
          </x14:formula1>
          <xm:sqref>H29:K29</xm:sqref>
        </x14:dataValidation>
        <x14:dataValidation type="list" allowBlank="1" showInputMessage="1" showErrorMessage="1">
          <x14:formula1>
            <xm:f>Formeln!$A$1:$A$4</xm:f>
          </x14:formula1>
          <xm:sqref>H28:K28</xm:sqref>
        </x14:dataValidation>
        <x14:dataValidation type="list" allowBlank="1" showInputMessage="1" showErrorMessage="1">
          <x14:formula1>
            <xm:f>Formeln!$A$115:$A$120</xm:f>
          </x14:formula1>
          <xm:sqref>I82:K82</xm:sqref>
        </x14:dataValidation>
        <x14:dataValidation type="list" allowBlank="1" showInputMessage="1" showErrorMessage="1">
          <x14:formula1>
            <xm:f>Formeln!$A$49:$A$112</xm:f>
          </x14:formula1>
          <xm:sqref>J46:K46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pageSetUpPr fitToPage="1"/>
  </sheetPr>
  <dimension ref="A1:PW102"/>
  <sheetViews>
    <sheetView showGridLines="0" showZeros="0" zoomScaleNormal="100" workbookViewId="0">
      <selection activeCell="C8" sqref="C8:E8"/>
    </sheetView>
  </sheetViews>
  <sheetFormatPr baseColWidth="10" defaultColWidth="0" defaultRowHeight="0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5" width="8.73046875" style="1" hidden="1" customWidth="1"/>
    <col min="16" max="17" width="15.73046875" style="12" hidden="1" customWidth="1"/>
    <col min="18" max="16384" width="8.73046875" style="1" hidden="1"/>
  </cols>
  <sheetData>
    <row r="1" spans="1:17" ht="27.75">
      <c r="M1" s="2" t="str">
        <f>VLOOKUP("PREFA DACHSYSTEME",Sprachindex!A:Z,Info!$O$6,FALSE)</f>
        <v>PREFA DACHSYSTEME</v>
      </c>
      <c r="O1" s="12"/>
      <c r="Q1" s="1"/>
    </row>
    <row r="2" spans="1:17" ht="27.75">
      <c r="D2" s="23"/>
      <c r="M2" s="2" t="str">
        <f>VLOOKUP("DACHPLATTE R.16",Sprachindex!A:Z,Info!$O$6,FALSE)</f>
        <v>DACHPLATTE R.16</v>
      </c>
      <c r="O2" s="12"/>
      <c r="Q2" s="1"/>
    </row>
    <row r="3" spans="1:17" ht="15" customHeight="1">
      <c r="O3" s="12"/>
      <c r="Q3" s="1"/>
    </row>
    <row r="4" spans="1:17" ht="17.25" customHeight="1">
      <c r="F4" s="123"/>
      <c r="G4" s="123"/>
      <c r="I4" s="123"/>
      <c r="J4" s="152" t="str">
        <f>VLOOKUP("RETOURNIERUNG PER FAX:",Sprachindex!A:Z,Info!$O$6,FALSE)</f>
        <v>RETOURNIERUNG PER FAX:</v>
      </c>
      <c r="K4" s="260"/>
      <c r="L4" s="261"/>
      <c r="M4" s="262"/>
      <c r="O4" s="12"/>
      <c r="Q4" s="3"/>
    </row>
    <row r="5" spans="1:17" ht="17.25" customHeight="1">
      <c r="F5" s="123"/>
      <c r="G5" s="123"/>
      <c r="I5" s="123"/>
      <c r="J5" s="152" t="str">
        <f>VLOOKUP("ODER EMAIL:",Sprachindex!A:Z,Info!$O$6,FALSE)</f>
        <v>ODER EMAIL:</v>
      </c>
      <c r="K5" s="260"/>
      <c r="L5" s="261"/>
      <c r="M5" s="262"/>
      <c r="O5" s="12"/>
      <c r="Q5" s="3"/>
    </row>
    <row r="6" spans="1:17" ht="17.25" customHeight="1">
      <c r="F6" s="123"/>
      <c r="G6" s="123"/>
      <c r="I6" s="123"/>
      <c r="J6" s="152" t="str">
        <f>VLOOKUP("Datum:",Sprachindex!A:Z,Info!$O$6,FALSE)</f>
        <v>Datum:</v>
      </c>
      <c r="K6" s="260"/>
      <c r="L6" s="261"/>
      <c r="M6" s="262"/>
      <c r="N6" s="18">
        <v>0</v>
      </c>
      <c r="O6" s="12"/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F7" s="123"/>
      <c r="G7" s="123"/>
      <c r="H7" s="123"/>
      <c r="I7" s="123"/>
      <c r="J7" s="123"/>
      <c r="K7" s="123"/>
      <c r="L7" s="123"/>
      <c r="M7" s="123"/>
      <c r="O7" s="12"/>
      <c r="P7" s="13"/>
      <c r="Q7" s="1"/>
    </row>
    <row r="8" spans="1:17" ht="15" customHeight="1">
      <c r="A8" s="123"/>
      <c r="B8" s="127" t="str">
        <f>VLOOKUP("Name:",Sprachindex!A:Z,Info!$O$6,FALSE)</f>
        <v>Name:</v>
      </c>
      <c r="C8" s="292"/>
      <c r="D8" s="293"/>
      <c r="E8" s="294"/>
      <c r="F8" s="123"/>
      <c r="G8" s="150" t="str">
        <f>VLOOKUP("Oberfläche:",Sprachindex!A:Z,Info!$O$6,FALSE)</f>
        <v>Oberfläche:</v>
      </c>
      <c r="H8" s="123"/>
      <c r="I8" s="157" t="str">
        <f>VLOOKUP("stucco",Sprachindex!A:Z,Info!$O$6,FALSE)</f>
        <v>stucco</v>
      </c>
      <c r="J8" s="122"/>
      <c r="K8" s="123"/>
      <c r="L8" s="122" t="str">
        <f>VLOOKUP("glatt",Sprachindex!A:Z,Info!$O$6,FALSE)</f>
        <v>glatt</v>
      </c>
      <c r="M8" s="123"/>
      <c r="N8" s="84"/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92"/>
      <c r="D9" s="293"/>
      <c r="E9" s="294"/>
      <c r="F9" s="123"/>
      <c r="G9" s="123"/>
      <c r="H9" s="123"/>
      <c r="I9" s="157"/>
      <c r="J9" s="124">
        <v>1</v>
      </c>
      <c r="K9" s="123"/>
      <c r="L9" s="123"/>
      <c r="M9" s="123"/>
      <c r="N9" s="5"/>
      <c r="O9" s="12"/>
      <c r="Q9" s="4"/>
    </row>
    <row r="10" spans="1:17" ht="15" customHeight="1">
      <c r="A10" s="123"/>
      <c r="B10" s="127" t="str">
        <f>VLOOKUP("Ort:",Sprachindex!A:Z,Info!$O$6,FALSE)</f>
        <v>Ort:</v>
      </c>
      <c r="C10" s="80"/>
      <c r="D10" s="81"/>
      <c r="E10" s="82"/>
      <c r="F10" s="123"/>
      <c r="G10" s="150"/>
      <c r="H10" s="123"/>
      <c r="I10" s="157"/>
      <c r="J10" s="123"/>
      <c r="K10" s="123"/>
      <c r="L10" s="123"/>
      <c r="M10" s="123"/>
      <c r="N10" s="205"/>
      <c r="O10" s="14"/>
      <c r="Q10" s="4"/>
    </row>
    <row r="11" spans="1:17" ht="15" customHeight="1">
      <c r="A11" s="123"/>
      <c r="B11" s="123"/>
      <c r="F11" s="123"/>
      <c r="G11" s="123"/>
      <c r="H11" s="123"/>
      <c r="I11" s="158"/>
      <c r="J11" s="124">
        <v>1</v>
      </c>
      <c r="K11" s="123"/>
      <c r="L11" s="123"/>
      <c r="M11" s="123"/>
      <c r="N11" s="5"/>
      <c r="O11" s="12"/>
      <c r="Q11" s="1"/>
    </row>
    <row r="12" spans="1:17" ht="15" customHeight="1">
      <c r="A12" s="123"/>
      <c r="B12" s="127" t="str">
        <f>VLOOKUP("Ansprechpartner:",Sprachindex!A:Z,Info!$O$6,FALSE)</f>
        <v>Ansprechpartner:</v>
      </c>
      <c r="C12" s="292"/>
      <c r="D12" s="293"/>
      <c r="E12" s="294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83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92"/>
      <c r="D13" s="293"/>
      <c r="E13" s="294"/>
      <c r="F13" s="123"/>
      <c r="G13" s="123"/>
      <c r="H13" s="123"/>
      <c r="I13" s="123"/>
      <c r="J13" s="123"/>
      <c r="K13" s="123"/>
      <c r="L13" s="123"/>
      <c r="M13" s="123"/>
      <c r="N13" s="5"/>
      <c r="O13" s="12"/>
      <c r="Q13" s="4"/>
    </row>
    <row r="14" spans="1:17" ht="15" customHeight="1">
      <c r="A14" s="123"/>
      <c r="B14" s="127" t="str">
        <f>VLOOKUP("eMail:",Sprachindex!A:Z,Info!$O$6,FALSE)</f>
        <v>eMail:</v>
      </c>
      <c r="C14" s="292"/>
      <c r="D14" s="293"/>
      <c r="E14" s="294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5"/>
      <c r="O14" s="12"/>
      <c r="Q14" s="4"/>
    </row>
    <row r="15" spans="1:17" ht="15" customHeight="1">
      <c r="A15" s="123"/>
      <c r="B15" s="123"/>
      <c r="F15" s="123"/>
      <c r="G15" s="123" t="str">
        <f>VLOOKUP("01 P.10 braun",Sprachindex!A:Z,Info!$O$6,FALSE)</f>
        <v>01 P.10 braun</v>
      </c>
      <c r="H15" s="123"/>
      <c r="I15" s="123"/>
      <c r="J15" s="122" t="str">
        <f>VLOOKUP("07 P.10 hellgrau ",Sprachindex!A:Z,Info!$O$6,FALSE)</f>
        <v xml:space="preserve">07 P.10 hellgrau </v>
      </c>
      <c r="K15" s="123"/>
      <c r="L15" s="123"/>
      <c r="M15" s="123"/>
      <c r="N15" s="5"/>
      <c r="O15" s="12"/>
      <c r="Q15" s="1"/>
    </row>
    <row r="16" spans="1:17" ht="15" customHeight="1">
      <c r="A16" s="151" t="str">
        <f>VLOOKUP("Lieferadresse:",Sprachindex!A:Z,Info!$O$6,FALSE)</f>
        <v>Lieferadresse:</v>
      </c>
      <c r="B16" s="123"/>
      <c r="F16" s="123"/>
      <c r="G16" s="123" t="str">
        <f>VLOOKUP("02 P.10 anthrazit",Sprachindex!A:Z,Info!$O$6,FALSE)</f>
        <v>02 P.10 anthrazit</v>
      </c>
      <c r="H16" s="123"/>
      <c r="I16" s="123"/>
      <c r="J16" s="125" t="str">
        <f>VLOOKUP("11 P.10 nussbraun",Sprachindex!A:Z,Info!$O$6,FALSE)</f>
        <v>11 P.10 nussbraun</v>
      </c>
      <c r="K16" s="123"/>
      <c r="L16" s="123"/>
      <c r="M16" s="123"/>
      <c r="N16" s="5"/>
      <c r="O16" s="12"/>
      <c r="P16" s="13"/>
      <c r="Q16" s="1"/>
    </row>
    <row r="17" spans="1:39" ht="15" customHeight="1">
      <c r="A17" s="123"/>
      <c r="B17" s="127" t="str">
        <f>VLOOKUP("Name:",Sprachindex!A:Z,Info!$O$6,FALSE)</f>
        <v>Name:</v>
      </c>
      <c r="C17" s="292"/>
      <c r="D17" s="293"/>
      <c r="E17" s="294"/>
      <c r="F17" s="123"/>
      <c r="G17" s="123" t="str">
        <f>VLOOKUP("03 P.10 schwarz",Sprachindex!A:Z,Info!$O$6,FALSE)</f>
        <v>03 P.10 schwarz</v>
      </c>
      <c r="H17" s="123"/>
      <c r="I17" s="123"/>
      <c r="J17" s="125" t="str">
        <f>VLOOKUP("43 P.10 steingrau",Sprachindex!A:Z,Info!$O$6,FALSE)</f>
        <v>43 P.10 steingrau</v>
      </c>
      <c r="K17" s="123"/>
      <c r="L17" s="123"/>
      <c r="M17" s="123"/>
      <c r="N17" s="5"/>
      <c r="O17" s="12"/>
      <c r="Q17" s="4"/>
    </row>
    <row r="18" spans="1:39" ht="15" customHeight="1">
      <c r="A18" s="123"/>
      <c r="B18" s="127" t="str">
        <f>VLOOKUP("Kommission:",Sprachindex!A:Z,Info!$O$6,FALSE)</f>
        <v>Kommission:</v>
      </c>
      <c r="C18" s="292"/>
      <c r="D18" s="293"/>
      <c r="E18" s="294"/>
      <c r="F18" s="123"/>
      <c r="G18" s="123" t="str">
        <f>VLOOKUP("04 P.10 ziegelrot",Sprachindex!A:Z,Info!$O$6,FALSE)</f>
        <v>04 P.10 ziegelrot</v>
      </c>
      <c r="H18" s="123"/>
      <c r="I18" s="123"/>
      <c r="J18" s="125" t="str">
        <f>VLOOKUP("13 naturblank",Sprachindex!A:Z,Info!$O$6,FALSE)</f>
        <v>13 naturblank</v>
      </c>
      <c r="K18" s="123"/>
      <c r="L18" s="123"/>
      <c r="M18" s="123"/>
      <c r="N18" s="5"/>
      <c r="O18" s="12"/>
      <c r="Q18" s="4"/>
    </row>
    <row r="19" spans="1:39" ht="15" customHeight="1">
      <c r="A19" s="123"/>
      <c r="B19" s="127" t="str">
        <f>VLOOKUP("Straße:",Sprachindex!A:Z,Info!$O$6,FALSE)</f>
        <v>Straße:</v>
      </c>
      <c r="C19" s="292"/>
      <c r="D19" s="293"/>
      <c r="E19" s="294"/>
      <c r="F19" s="123"/>
      <c r="G19" s="123" t="str">
        <f>VLOOKUP("05 P.10 oxydrot",Sprachindex!A:Z,Info!$O$6,FALSE)</f>
        <v>05 P.10 oxydrot</v>
      </c>
      <c r="H19" s="123"/>
      <c r="I19" s="123"/>
      <c r="J19" s="125"/>
      <c r="K19" s="123"/>
      <c r="L19" s="124"/>
      <c r="M19" s="123"/>
      <c r="N19" s="5"/>
      <c r="O19" s="12"/>
      <c r="Q19" s="4"/>
    </row>
    <row r="20" spans="1:39" ht="15" customHeight="1">
      <c r="A20" s="123"/>
      <c r="B20" s="127" t="str">
        <f>VLOOKUP("Ort:",Sprachindex!A:Z,Info!$O$6,FALSE)</f>
        <v>Ort:</v>
      </c>
      <c r="C20" s="292"/>
      <c r="D20" s="293"/>
      <c r="E20" s="294"/>
      <c r="F20" s="123"/>
      <c r="G20" s="123" t="str">
        <f>VLOOKUP("06 P.10 moosgrün",Sprachindex!A:Z,Info!$O$6,FALSE)</f>
        <v>06 P.10 moosgrün</v>
      </c>
      <c r="H20" s="123"/>
      <c r="I20" s="160"/>
      <c r="J20" s="161"/>
      <c r="K20" s="161"/>
      <c r="L20" s="123"/>
      <c r="M20" s="123"/>
      <c r="N20" s="83"/>
      <c r="O20" s="12"/>
      <c r="Q20" s="4"/>
    </row>
    <row r="21" spans="1:39" ht="15" customHeight="1">
      <c r="A21" s="123"/>
      <c r="B21" s="127"/>
      <c r="F21" s="123"/>
      <c r="G21" s="123"/>
      <c r="H21" s="123"/>
      <c r="I21" s="123"/>
      <c r="J21" s="160"/>
      <c r="K21" s="123"/>
      <c r="L21" s="123"/>
      <c r="M21" s="123"/>
      <c r="N21" s="5"/>
      <c r="R21" s="4"/>
    </row>
    <row r="22" spans="1:39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285"/>
      <c r="G22" s="123"/>
      <c r="H22" s="123"/>
      <c r="I22" s="123"/>
      <c r="J22" s="123"/>
      <c r="K22" s="123"/>
      <c r="L22" s="123"/>
      <c r="M22" s="123"/>
    </row>
    <row r="23" spans="1:39" ht="35.1" customHeight="1" thickBot="1">
      <c r="A23" s="128" t="str">
        <f>VLOOKUP("Menge",Sprachindex!A:Z,Info!$O$6,FALSE)</f>
        <v>Menge</v>
      </c>
      <c r="B23" s="129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Q23" s="59">
        <f>ROUNDUP(A24/(1/3.4),0)</f>
        <v>0</v>
      </c>
      <c r="T23" s="75" t="s">
        <v>1554</v>
      </c>
      <c r="U23" s="75" t="s">
        <v>1555</v>
      </c>
      <c r="V23" s="75" t="s">
        <v>1556</v>
      </c>
      <c r="W23" s="75" t="s">
        <v>1557</v>
      </c>
      <c r="X23" s="75" t="s">
        <v>1558</v>
      </c>
      <c r="Y23" s="75" t="s">
        <v>1559</v>
      </c>
      <c r="Z23" s="75" t="s">
        <v>1560</v>
      </c>
      <c r="AA23" s="75" t="s">
        <v>1561</v>
      </c>
      <c r="AB23" s="75" t="s">
        <v>1562</v>
      </c>
      <c r="AC23" s="75" t="s">
        <v>1563</v>
      </c>
      <c r="AD23" s="75" t="s">
        <v>1554</v>
      </c>
      <c r="AE23" s="75" t="s">
        <v>1555</v>
      </c>
      <c r="AF23" s="75" t="s">
        <v>1556</v>
      </c>
      <c r="AG23" s="75" t="s">
        <v>1557</v>
      </c>
      <c r="AH23" s="75" t="s">
        <v>1558</v>
      </c>
      <c r="AI23" s="75" t="s">
        <v>1559</v>
      </c>
      <c r="AJ23" s="75" t="s">
        <v>1560</v>
      </c>
      <c r="AK23" s="75" t="s">
        <v>1561</v>
      </c>
      <c r="AL23" s="75" t="s">
        <v>1562</v>
      </c>
      <c r="AM23" s="75" t="s">
        <v>1563</v>
      </c>
    </row>
    <row r="24" spans="1:39" ht="32.1" customHeight="1">
      <c r="A24" s="162"/>
      <c r="B24" s="208" t="str">
        <f>VLOOKUP("m²",Sprachindex!A:Z,Info!$O$6,FALSE)</f>
        <v>m²</v>
      </c>
      <c r="C24" s="131"/>
      <c r="D24" s="163">
        <f>IF(AND($N$8=2,$N$20=1),T24,IF(AND($N$8=2,$N$20=4),U24,IF(AND($N$8=2,$N$20=5),V24,IF(AND($N$8=2,$N$20=11),W24,IF(AND($N$8=2,$N$20=7),X24,IF(AND($N$8=2,$N$20=3),Y24,IF(AND($N$8=2,$N$20=6),Z24,IF(AND($N$8=2,$N$20=9),AA24,IF(AND($N$8=2,$N$20=2),AB24,IF(AND($N$8=2,$N$20=8),AC24,IF(AND($N$8=1,$N$20=1),AD24,IF(AND($N$8=1,$N$20=1),AD24,IF(AND($N$8=1,$N$20=4),AE24,IF(AND($N$8=1,$N$20=5),AF24,IF(AND($N$8=1,$N$20=11),AG24,IF(AND($N$8=1,$N$20=7),AH24,IF(AND($N$8=1,$N$20=3),AI24,IF(AND($N$8=1,$N$20=6),AJ24,IF(AND($N$8=1,$N$20=9),AK24,IF(AND($N$8=1,$N$20=2),AL24,IF(AND($N$8=1,$N$20=8),AM24,0)))))))))))))))))))))</f>
        <v>0</v>
      </c>
      <c r="E24" s="289" t="str">
        <f>VLOOKUP("PREFA Dachplatte R.16 (700 × 420 mm)",Sprachindex!A:Z,Info!$O$6,FALSE)</f>
        <v>PREFA Dachplatte R.16 (700 × 420 mm)</v>
      </c>
      <c r="F24" s="290"/>
      <c r="G24" s="290"/>
      <c r="H24" s="290"/>
      <c r="I24" s="290"/>
      <c r="J24" s="290"/>
      <c r="K24" s="291"/>
      <c r="L24" s="133" t="str">
        <f t="shared" ref="L24:L55" si="0">IF(A24=0,"",IF($N$10=1,P24,Q24))</f>
        <v/>
      </c>
      <c r="M24" s="134"/>
      <c r="P24" s="56"/>
      <c r="Q24" s="60" t="str">
        <f>TRUNC(ROUNDUP(A24/8.24,0)*8.24,2) &amp; " m²                                    " &amp; "(="&amp;ROUNDUP(ROUNDUP(A24/8.24,0)*8.24/8.24,0)*28 &amp;" Stk)"</f>
        <v>0 m²                                    (=0 Stk)</v>
      </c>
      <c r="T24" s="72">
        <v>112021</v>
      </c>
      <c r="U24" s="72">
        <v>112022</v>
      </c>
      <c r="V24" s="72">
        <v>112023</v>
      </c>
      <c r="W24" s="72">
        <v>112024</v>
      </c>
      <c r="X24" s="72">
        <v>112025</v>
      </c>
      <c r="Y24" s="72">
        <v>112026</v>
      </c>
      <c r="Z24" s="72">
        <v>112027</v>
      </c>
      <c r="AA24" s="72">
        <v>112028</v>
      </c>
      <c r="AB24" s="72">
        <v>112029</v>
      </c>
      <c r="AC24" s="72">
        <v>112020</v>
      </c>
      <c r="AD24" s="72">
        <v>112001</v>
      </c>
      <c r="AE24" s="72">
        <v>112002</v>
      </c>
      <c r="AF24" s="72">
        <v>112003</v>
      </c>
      <c r="AG24" s="72">
        <v>112004</v>
      </c>
      <c r="AH24" s="72">
        <v>112005</v>
      </c>
      <c r="AI24" s="72">
        <v>112006</v>
      </c>
      <c r="AJ24" s="72">
        <v>112007</v>
      </c>
      <c r="AK24" s="72">
        <v>112008</v>
      </c>
      <c r="AL24" s="72">
        <v>112009</v>
      </c>
      <c r="AM24" s="72">
        <v>112000</v>
      </c>
    </row>
    <row r="25" spans="1:39" ht="32.1" customHeight="1">
      <c r="A25" s="164"/>
      <c r="B25" s="137" t="str">
        <f>VLOOKUP("lfm",Sprachindex!A:Z,Info!$O$6,FALSE)</f>
        <v>lfm</v>
      </c>
      <c r="C25" s="135"/>
      <c r="D25" s="141">
        <v>562005</v>
      </c>
      <c r="E25" s="264" t="str">
        <f>VLOOKUP("PREFA Saumstreifen (1.800 × 158 × 1,00 mm)",Sprachindex!A:Z,Info!$O$6,FALSE)</f>
        <v>PREFA Saumstreifen (1.800 × 158 × 1,00 mm)</v>
      </c>
      <c r="F25" s="265"/>
      <c r="G25" s="265"/>
      <c r="H25" s="265"/>
      <c r="I25" s="265"/>
      <c r="J25" s="265"/>
      <c r="K25" s="266"/>
      <c r="L25" s="137" t="str">
        <f t="shared" si="0"/>
        <v/>
      </c>
      <c r="M25" s="138"/>
      <c r="P25" s="31"/>
      <c r="Q25" s="31" t="str">
        <f>ROUNDUP(A25/1.8,0)*1.8 &amp; " " &amp; Formeln!A124 &amp; "                                 " &amp; "(="&amp;ROUNDUP(A25/1.8,0) &amp;" " &amp; Formeln!A123 &amp; ")"</f>
        <v>0 lfm                                 (=0 STK)</v>
      </c>
    </row>
    <row r="26" spans="1:39" ht="32.1" customHeight="1">
      <c r="A26" s="164"/>
      <c r="B26" s="137" t="str">
        <f>VLOOKUP("kg",Sprachindex!A:Z,Info!$O$6,FALSE)</f>
        <v>kg</v>
      </c>
      <c r="C26" s="135"/>
      <c r="D26" s="136">
        <f>IF(H26=Formeln!A2,340392,IF(H26=Formeln!A3,340394,IF(H26=Formeln!A4,341392,0)))</f>
        <v>0</v>
      </c>
      <c r="E26" s="283" t="str">
        <f>VLOOKUP("PREFA Rillennagel verzinkt",Sprachindex!A:Z,Info!$O$6,FALSE)</f>
        <v>PREFA Rillennagel verzinkt</v>
      </c>
      <c r="F26" s="284"/>
      <c r="G26" s="284"/>
      <c r="H26" s="269"/>
      <c r="I26" s="270"/>
      <c r="J26" s="270"/>
      <c r="K26" s="271"/>
      <c r="L26" s="137" t="str">
        <f t="shared" si="0"/>
        <v/>
      </c>
      <c r="M26" s="138"/>
      <c r="P26" s="57"/>
      <c r="Q26" s="57" t="str">
        <f>ROUNDUP(A26/2.5,0)*2.5 &amp; " " &amp; Formeln!A126 &amp; "                              " &amp; "(="&amp;ROUNDUP(A26/2.5,0)*2.5*R26 &amp;"" &amp; Formeln!A123 &amp; ")"</f>
        <v>0 kg                              (=0STK)</v>
      </c>
      <c r="R26" s="8">
        <f>IF(H26=Formeln!A2,570,IF(H26=Formeln!A3,480,IF(H26=Formeln!A4,380,0)))</f>
        <v>0</v>
      </c>
    </row>
    <row r="27" spans="1:39" ht="32.1" customHeight="1">
      <c r="A27" s="164"/>
      <c r="B27" s="137" t="str">
        <f>VLOOKUP("Karton",Sprachindex!A:Z,Info!$O$6,FALSE)</f>
        <v>Karton</v>
      </c>
      <c r="C27" s="135"/>
      <c r="D27" s="141">
        <f>IF(H27=Formeln!A6,341395,IF(H27=Formeln!A7,341396,IF(H27=Formeln!A8,341398,0)))</f>
        <v>0</v>
      </c>
      <c r="E27" s="283" t="str">
        <f>VLOOKUP("Nägel für Bull Tack Power Nagler",Sprachindex!A:Z,Info!$O$6,FALSE)</f>
        <v>Nägel für Bull Tack Power Nagler</v>
      </c>
      <c r="F27" s="284"/>
      <c r="G27" s="284"/>
      <c r="H27" s="269"/>
      <c r="I27" s="270"/>
      <c r="J27" s="270"/>
      <c r="K27" s="271"/>
      <c r="L27" s="137" t="str">
        <f t="shared" si="0"/>
        <v/>
      </c>
      <c r="M27" s="138"/>
      <c r="P27" s="57"/>
      <c r="Q27" s="57" t="str">
        <f>A27 &amp; " " &amp; Formeln!A125 &amp; "                    " &amp; "(="&amp;R27*A27 &amp;"" &amp; Formeln!A123 &amp; ")"</f>
        <v xml:space="preserve"> Karton                    (=0STK)</v>
      </c>
      <c r="R27" s="8">
        <f>IF(H27=Formeln!A7,2400,3200)</f>
        <v>3200</v>
      </c>
    </row>
    <row r="28" spans="1:39" ht="32.1" customHeight="1">
      <c r="A28" s="164"/>
      <c r="B28" s="137" t="str">
        <f>VLOOKUP("lfm",Sprachindex!A:Z,Info!$O$6,FALSE)</f>
        <v>lfm</v>
      </c>
      <c r="C28" s="135"/>
      <c r="D28" s="136">
        <f>IF($N$20=1,T28,IF($N$20=4,U28,IF($N$20=5,V28,IF($N$20=11,W28,IF($N$20=7,X28,IF($N$20=3,Y28,IF($N$20=6,Z28,IF($N$20=9,AA28,IF($N$20=2,AB28,IF($N$20=8,AC28,0))))))))))</f>
        <v>0</v>
      </c>
      <c r="E28" s="264" t="str">
        <f>VLOOKUP("PREFA Einlaufblech glatt 230 × 2.000 × 0,7 mm",Sprachindex!A:Z,Info!$O$6,FALSE)</f>
        <v>PREFA Einlaufblech glatt 230 × 2.000 × 0,7 mm</v>
      </c>
      <c r="F28" s="265"/>
      <c r="G28" s="265"/>
      <c r="H28" s="265"/>
      <c r="I28" s="265"/>
      <c r="J28" s="265"/>
      <c r="K28" s="266"/>
      <c r="L28" s="137" t="str">
        <f t="shared" si="0"/>
        <v/>
      </c>
      <c r="M28" s="138"/>
      <c r="P28" s="11"/>
      <c r="Q28" s="11" t="str">
        <f>ROUNDUP(A28/2,0)*2 &amp;" " &amp; VLOOKUP("lfm",Sprachindex!A:Z,Info!$O$6,FALSE)</f>
        <v>0 lfm</v>
      </c>
      <c r="T28" s="72">
        <v>563004</v>
      </c>
      <c r="U28" s="72">
        <v>563006</v>
      </c>
      <c r="V28" s="72">
        <v>563001</v>
      </c>
      <c r="W28" s="72">
        <v>563005</v>
      </c>
      <c r="Y28" s="72">
        <v>563007</v>
      </c>
      <c r="Z28" s="72">
        <v>563016</v>
      </c>
      <c r="AA28" s="72">
        <v>563011</v>
      </c>
      <c r="AB28" s="72">
        <v>563017</v>
      </c>
      <c r="AC28" s="72">
        <v>563002</v>
      </c>
    </row>
    <row r="29" spans="1:39" ht="32.1" customHeight="1">
      <c r="A29" s="164"/>
      <c r="B29" s="137" t="str">
        <f>VLOOKUP("lfm",Sprachindex!A:Z,Info!$O$6,FALSE)</f>
        <v>lfm</v>
      </c>
      <c r="C29" s="140"/>
      <c r="D29" s="141">
        <f>IF(H29=Formeln!A10,507400,IF(H29=Formeln!A11,507401,IF(H29=Formeln!A12,507410,IF(H29=Formeln!A13,507411,0))))</f>
        <v>0</v>
      </c>
      <c r="E29" s="264" t="str">
        <f>VLOOKUP("PREFA Lüftungsband",Sprachindex!A:Z,Info!$O$6,FALSE)</f>
        <v>PREFA Lüftungsband</v>
      </c>
      <c r="F29" s="265"/>
      <c r="G29" s="265"/>
      <c r="H29" s="269"/>
      <c r="I29" s="270"/>
      <c r="J29" s="270"/>
      <c r="K29" s="271"/>
      <c r="L29" s="137" t="str">
        <f t="shared" si="0"/>
        <v/>
      </c>
      <c r="M29" s="138"/>
      <c r="P29" s="11"/>
      <c r="Q29" s="11" t="str">
        <f>ROUNDUP(A29/40,0)*40 &amp;" " &amp; VLOOKUP("lfm",Sprachindex!A:Z,Info!$O$6,FALSE)</f>
        <v>0 lfm</v>
      </c>
    </row>
    <row r="30" spans="1:39" ht="32.1" customHeight="1">
      <c r="A30" s="164"/>
      <c r="B30" s="137" t="str">
        <f>VLOOKUP("lfm",Sprachindex!A:Z,Info!$O$6,FALSE)</f>
        <v>lfm</v>
      </c>
      <c r="C30" s="135"/>
      <c r="D30" s="136">
        <v>507300</v>
      </c>
      <c r="E30" s="264" t="str">
        <f>VLOOKUP("PREFA Vogelschutzgitter braun/anthrazit (125x2.000x0,7mm)",Sprachindex!A:Z,Info!$O$6,FALSE)</f>
        <v>PREFA Vogelschutzgitter braun/anthrazit (125x2.000x0,7mm)</v>
      </c>
      <c r="F30" s="265"/>
      <c r="G30" s="265"/>
      <c r="H30" s="265"/>
      <c r="I30" s="265"/>
      <c r="J30" s="265"/>
      <c r="K30" s="266"/>
      <c r="L30" s="137" t="str">
        <f t="shared" si="0"/>
        <v/>
      </c>
      <c r="M30" s="138"/>
      <c r="P30" s="11"/>
      <c r="Q30" s="11" t="str">
        <f>ROUNDUP(A30/2,0)*2 &amp;" " &amp; VLOOKUP("lfm",Sprachindex!A:Z,Info!$O$6,FALSE)</f>
        <v>0 lfm</v>
      </c>
      <c r="T30" s="75" t="s">
        <v>1554</v>
      </c>
      <c r="U30" s="75" t="s">
        <v>1555</v>
      </c>
      <c r="V30" s="75" t="s">
        <v>1556</v>
      </c>
      <c r="W30" s="75" t="s">
        <v>1557</v>
      </c>
      <c r="X30" s="75" t="s">
        <v>1558</v>
      </c>
      <c r="Y30" s="75" t="s">
        <v>1559</v>
      </c>
      <c r="Z30" s="75" t="s">
        <v>1560</v>
      </c>
      <c r="AA30" s="75" t="s">
        <v>1561</v>
      </c>
      <c r="AB30" s="75" t="s">
        <v>1562</v>
      </c>
      <c r="AC30" s="75" t="s">
        <v>1563</v>
      </c>
    </row>
    <row r="31" spans="1:39" ht="32.1" customHeight="1">
      <c r="A31" s="164"/>
      <c r="B31" s="137" t="str">
        <f>VLOOKUP("lfm",Sprachindex!A:Z,Info!$O$6,FALSE)</f>
        <v>lfm</v>
      </c>
      <c r="C31" s="135"/>
      <c r="D31" s="136">
        <f t="shared" ref="D31:D37" si="1">IF(AND($N$8=2,$N$20=1),T31,IF(AND($N$8=2,$N$20=4),U31,IF(AND($N$8=2,$N$20=5),V31,IF(AND($N$8=2,$N$20=11),W31,IF(AND($N$8=2,$N$20=7),X31,IF(AND($N$8=2,$N$20=3),Y31,IF(AND($N$8=2,$N$20=6),Z31,IF(AND($N$8=2,$N$20=9),AA31,IF(AND($N$8=2,$N$20=2),AB31,IF(AND($N$8=2,$N$20=8),AC31,IF(AND($N$8=1,$N$20=1),AD31,IF(AND($N$8=1,$N$20=1),AD31,IF(AND($N$8=1,$N$20=4),AE31,IF(AND($N$8=1,$N$20=5),AF31,IF(AND($N$8=1,$N$20=11),AG31,IF(AND($N$8=1,$N$20=7),AH31,IF(AND($N$8=1,$N$20=3),AI31,IF(AND($N$8=1,$N$20=6),AJ31,IF(AND($N$8=1,$N$20=9),AK31,IF(AND($N$8=1,$N$20=2),AL31,IF(AND($N$8=1,$N$20=8),AM31,0)))))))))))))))))))))</f>
        <v>0</v>
      </c>
      <c r="E31" s="264" t="str">
        <f>VLOOKUP("PREFA Ortgangstreifen (95 x 2.000 x 0,70 mm)",Sprachindex!A:Z,Info!$O$6,FALSE)</f>
        <v>PREFA Ortgangstreifen (95 x 2.000 x 0,70 mm)</v>
      </c>
      <c r="F31" s="265"/>
      <c r="G31" s="265"/>
      <c r="H31" s="265"/>
      <c r="I31" s="265"/>
      <c r="J31" s="265"/>
      <c r="K31" s="266"/>
      <c r="L31" s="137" t="str">
        <f t="shared" si="0"/>
        <v/>
      </c>
      <c r="M31" s="138"/>
      <c r="P31" s="11"/>
      <c r="Q31" s="11" t="str">
        <f>ROUNDUP(A31/2,0)*2 &amp;" " &amp; VLOOKUP("lfm",Sprachindex!A:Z,Info!$O$6,FALSE)</f>
        <v>0 lfm</v>
      </c>
      <c r="T31" s="72">
        <v>110500</v>
      </c>
      <c r="U31" s="72">
        <v>110501</v>
      </c>
      <c r="V31" s="72">
        <v>110502</v>
      </c>
      <c r="W31" s="72">
        <v>110503</v>
      </c>
      <c r="X31" s="72">
        <v>110504</v>
      </c>
      <c r="Y31" s="72">
        <v>110505</v>
      </c>
      <c r="Z31" s="72">
        <v>110506</v>
      </c>
      <c r="AA31" s="72">
        <v>110507</v>
      </c>
      <c r="AB31" s="72">
        <v>110508</v>
      </c>
      <c r="AC31" s="72">
        <v>564001</v>
      </c>
      <c r="AD31" s="72">
        <v>110510</v>
      </c>
      <c r="AE31" s="72">
        <v>110511</v>
      </c>
      <c r="AF31" s="72">
        <v>110512</v>
      </c>
      <c r="AG31" s="72">
        <v>110513</v>
      </c>
      <c r="AH31" s="72">
        <v>110514</v>
      </c>
      <c r="AI31" s="72">
        <v>110515</v>
      </c>
      <c r="AJ31" s="72">
        <v>110516</v>
      </c>
      <c r="AK31" s="72">
        <v>110517</v>
      </c>
      <c r="AL31" s="72">
        <v>110518</v>
      </c>
    </row>
    <row r="32" spans="1:39" ht="32.1" customHeight="1">
      <c r="A32" s="164"/>
      <c r="B32" s="137" t="str">
        <f>VLOOKUP("lfm",Sprachindex!A:Z,Info!$O$6,FALSE)</f>
        <v>lfm</v>
      </c>
      <c r="C32" s="135"/>
      <c r="D32" s="136">
        <f t="shared" si="1"/>
        <v>0</v>
      </c>
      <c r="E32" s="264" t="str">
        <f>VLOOKUP("PREFA Sicherheitskehle stucco (3.000 mm lang)",Sprachindex!A:Z,Info!$O$6,FALSE)</f>
        <v>PREFA Sicherheitskehle stucco (3.000 mm lang)</v>
      </c>
      <c r="F32" s="265"/>
      <c r="G32" s="265"/>
      <c r="H32" s="265"/>
      <c r="I32" s="265"/>
      <c r="J32" s="265"/>
      <c r="K32" s="266"/>
      <c r="L32" s="137" t="str">
        <f t="shared" si="0"/>
        <v/>
      </c>
      <c r="M32" s="138"/>
      <c r="P32" s="11"/>
      <c r="Q32" s="11" t="str">
        <f>ROUNDUP(A32/3,0)*3 &amp;" " &amp; VLOOKUP("lfm",Sprachindex!A:Z,Info!$O$6,FALSE)</f>
        <v>0 lfm</v>
      </c>
      <c r="T32" s="72">
        <v>110520</v>
      </c>
      <c r="U32" s="72">
        <v>110521</v>
      </c>
      <c r="V32" s="72">
        <v>110522</v>
      </c>
      <c r="W32" s="72">
        <v>110523</v>
      </c>
      <c r="X32" s="72">
        <v>110524</v>
      </c>
      <c r="Y32" s="72">
        <v>110525</v>
      </c>
      <c r="Z32" s="72">
        <v>110526</v>
      </c>
      <c r="AA32" s="72">
        <v>110527</v>
      </c>
      <c r="AB32" s="72">
        <v>110528</v>
      </c>
      <c r="AD32" s="72">
        <v>110530</v>
      </c>
      <c r="AE32" s="72">
        <v>110531</v>
      </c>
      <c r="AF32" s="72">
        <v>110532</v>
      </c>
      <c r="AG32" s="72">
        <v>110533</v>
      </c>
      <c r="AH32" s="72">
        <v>110534</v>
      </c>
      <c r="AI32" s="72">
        <v>110535</v>
      </c>
      <c r="AJ32" s="72">
        <v>110536</v>
      </c>
      <c r="AK32" s="72">
        <v>110537</v>
      </c>
      <c r="AL32" s="72">
        <v>110538</v>
      </c>
    </row>
    <row r="33" spans="1:439" ht="32.1" customHeight="1">
      <c r="A33" s="164"/>
      <c r="B33" s="137" t="str">
        <f>VLOOKUP("lfm",Sprachindex!A:Z,Info!$O$6,FALSE)</f>
        <v>lfm</v>
      </c>
      <c r="C33" s="135"/>
      <c r="D33" s="136">
        <f t="shared" si="1"/>
        <v>0</v>
      </c>
      <c r="E33" s="264" t="str">
        <f>VLOOKUP("PREFA Grat- und Firstreiter 500 x 1,00 mm stucco
inkl. Niro Schraube 4,5x45mm und Dichscheibe",Sprachindex!A:Z,Info!$O$6,FALSE)</f>
        <v>PREFA Grat- und Firstreiter 500 x 1,00 mm stucco
inkl. Niro Schraube 4,5x45mm und Dichscheibe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38"/>
      <c r="P33" s="11"/>
      <c r="Q33" s="11" t="str">
        <f>ROUNDUP(A33/1,0)*1 &amp;" " &amp; VLOOKUP("lfm",Sprachindex!A:Z,Info!$O$6,FALSE)</f>
        <v>0 lfm</v>
      </c>
      <c r="T33" s="72">
        <v>110340</v>
      </c>
      <c r="U33" s="72">
        <v>110341</v>
      </c>
      <c r="V33" s="72">
        <v>110342</v>
      </c>
      <c r="W33" s="72">
        <v>110343</v>
      </c>
      <c r="X33" s="72">
        <v>110344</v>
      </c>
      <c r="Y33" s="72">
        <v>110345</v>
      </c>
      <c r="Z33" s="72">
        <v>110346</v>
      </c>
      <c r="AA33" s="72">
        <v>110347</v>
      </c>
      <c r="AB33" s="72">
        <v>110348</v>
      </c>
      <c r="AC33" s="72">
        <v>567002</v>
      </c>
      <c r="AD33" s="72">
        <v>110350</v>
      </c>
      <c r="AE33" s="72">
        <v>110351</v>
      </c>
      <c r="AF33" s="72">
        <v>110352</v>
      </c>
      <c r="AG33" s="72">
        <v>110353</v>
      </c>
      <c r="AH33" s="72">
        <v>110354</v>
      </c>
      <c r="AI33" s="72">
        <v>110355</v>
      </c>
      <c r="AJ33" s="72">
        <v>110356</v>
      </c>
      <c r="AK33" s="72">
        <v>110357</v>
      </c>
      <c r="AL33" s="72">
        <v>110358</v>
      </c>
    </row>
    <row r="34" spans="1:439" ht="32.1" customHeight="1">
      <c r="A34" s="164"/>
      <c r="B34" s="137" t="str">
        <f>VLOOKUP("Stk",Sprachindex!A:Z,Info!$O$6,FALSE)</f>
        <v>STK</v>
      </c>
      <c r="C34" s="135"/>
      <c r="D34" s="136">
        <f t="shared" si="1"/>
        <v>0</v>
      </c>
      <c r="E34" s="264" t="str">
        <f>VLOOKUP("PREFA Grat-/Firstreiter Anfangs-/Endstück stucco",Sprachindex!A:Z,Info!$O$6,FALSE)</f>
        <v>PREFA Grat-/Firstreiter Anfangs-/Endstück stucco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38"/>
      <c r="P34" s="11"/>
      <c r="Q34" s="11" t="str">
        <f>ROUNDUP(A34/1,0)*1 &amp;" " &amp; VLOOKUP("Stk",Sprachindex!A:Z,Info!$O$6,FALSE)</f>
        <v>0 STK</v>
      </c>
      <c r="T34" s="72">
        <v>110320</v>
      </c>
      <c r="U34" s="72">
        <v>110321</v>
      </c>
      <c r="V34" s="72">
        <v>110322</v>
      </c>
      <c r="W34" s="72">
        <v>110323</v>
      </c>
      <c r="X34" s="72">
        <v>110324</v>
      </c>
      <c r="Y34" s="72">
        <v>110325</v>
      </c>
      <c r="Z34" s="72">
        <v>110326</v>
      </c>
      <c r="AA34" s="72">
        <v>110327</v>
      </c>
      <c r="AB34" s="72">
        <v>110328</v>
      </c>
      <c r="AC34" s="72">
        <v>517150</v>
      </c>
      <c r="AD34" s="72">
        <v>110330</v>
      </c>
      <c r="AE34" s="72">
        <v>110331</v>
      </c>
      <c r="AF34" s="72">
        <v>110332</v>
      </c>
      <c r="AG34" s="72">
        <v>110333</v>
      </c>
      <c r="AH34" s="72">
        <v>110334</v>
      </c>
      <c r="AI34" s="72">
        <v>110335</v>
      </c>
      <c r="AJ34" s="72">
        <v>110336</v>
      </c>
      <c r="AK34" s="72">
        <v>110337</v>
      </c>
      <c r="AL34" s="72">
        <v>110338</v>
      </c>
      <c r="AM34" s="72">
        <v>517170</v>
      </c>
    </row>
    <row r="35" spans="1:439" ht="32.1" customHeight="1">
      <c r="A35" s="164"/>
      <c r="B35" s="137" t="str">
        <f>VLOOKUP("lfm",Sprachindex!A:Z,Info!$O$6,FALSE)</f>
        <v>lfm</v>
      </c>
      <c r="C35" s="135"/>
      <c r="D35" s="136">
        <f t="shared" si="1"/>
        <v>0</v>
      </c>
      <c r="E35" s="264" t="str">
        <f>VLOOKUP("PREFA Jet-Lüfter stucco (1.200mm) inkl. Niro Schr. u.Dichtsch.",Sprachindex!A:Z,Info!$O$6,FALSE)</f>
        <v>PREFA Jet-Lüfter stucco (1.200mm) inkl. Niro Schr. u.Dichtsch.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38"/>
      <c r="P35" s="11"/>
      <c r="Q35" s="11" t="str">
        <f>ROUNDUP(A35/1.2,0)*1.2 &amp;" " &amp; VLOOKUP("lfm",Sprachindex!A:Z,Info!$O$6,FALSE)</f>
        <v>0 lfm</v>
      </c>
      <c r="T35" s="72">
        <v>110640</v>
      </c>
      <c r="U35" s="72">
        <v>110641</v>
      </c>
      <c r="V35" s="72">
        <v>110642</v>
      </c>
      <c r="W35" s="72">
        <v>110643</v>
      </c>
      <c r="X35" s="72">
        <v>110644</v>
      </c>
      <c r="Y35" s="72">
        <v>110645</v>
      </c>
      <c r="Z35" s="72">
        <v>110646</v>
      </c>
      <c r="AA35" s="72">
        <v>110647</v>
      </c>
      <c r="AB35" s="72">
        <v>110648</v>
      </c>
      <c r="AC35" s="72">
        <v>570160</v>
      </c>
      <c r="AD35" s="72">
        <v>110650</v>
      </c>
      <c r="AE35" s="72">
        <v>110651</v>
      </c>
      <c r="AF35" s="72">
        <v>110652</v>
      </c>
      <c r="AG35" s="72">
        <v>110653</v>
      </c>
      <c r="AH35" s="72">
        <v>110654</v>
      </c>
      <c r="AI35" s="72">
        <v>110655</v>
      </c>
      <c r="AJ35" s="72">
        <v>110656</v>
      </c>
      <c r="AK35" s="72">
        <v>110657</v>
      </c>
      <c r="AL35" s="72">
        <v>110658</v>
      </c>
      <c r="AM35" s="72">
        <v>570140</v>
      </c>
    </row>
    <row r="36" spans="1:439" ht="32.1" customHeight="1">
      <c r="A36" s="164"/>
      <c r="B36" s="137" t="str">
        <f>VLOOKUP("lfm",Sprachindex!A:Z,Info!$O$6,FALSE)</f>
        <v>lfm</v>
      </c>
      <c r="C36" s="135"/>
      <c r="D36" s="136">
        <f t="shared" si="1"/>
        <v>0</v>
      </c>
      <c r="E36" s="264" t="str">
        <f>VLOOKUP("PREFA Jet-Lüfter stucco (3.000mm) inkl. Niro Schr. u.Dichtsch.",Sprachindex!A:Z,Info!$O$6,FALSE)</f>
        <v>PREFA Jet-Lüfter stucco (3.000mm) inkl. Niro Schr. u.Dichtsch.</v>
      </c>
      <c r="F36" s="265"/>
      <c r="G36" s="265"/>
      <c r="H36" s="265"/>
      <c r="I36" s="265"/>
      <c r="J36" s="265"/>
      <c r="K36" s="266"/>
      <c r="L36" s="137" t="str">
        <f t="shared" si="0"/>
        <v/>
      </c>
      <c r="M36" s="138"/>
      <c r="P36" s="11"/>
      <c r="Q36" s="11" t="str">
        <f>ROUNDUP(A36/3,0)*3 &amp;" " &amp; VLOOKUP("lfm",Sprachindex!A:Z,Info!$O$6,FALSE)</f>
        <v>0 lfm</v>
      </c>
      <c r="T36" s="72">
        <v>110620</v>
      </c>
      <c r="U36" s="72">
        <v>110621</v>
      </c>
      <c r="V36" s="72">
        <v>110622</v>
      </c>
      <c r="W36" s="72">
        <v>110623</v>
      </c>
      <c r="X36" s="72">
        <v>110624</v>
      </c>
      <c r="Y36" s="72">
        <v>110625</v>
      </c>
      <c r="Z36" s="72">
        <v>110626</v>
      </c>
      <c r="AA36" s="72">
        <v>110627</v>
      </c>
      <c r="AB36" s="72">
        <v>110628</v>
      </c>
      <c r="AC36" s="72">
        <v>570040</v>
      </c>
      <c r="AD36" s="72">
        <v>110630</v>
      </c>
      <c r="AE36" s="72">
        <v>110631</v>
      </c>
      <c r="AF36" s="72">
        <v>110632</v>
      </c>
      <c r="AG36" s="72">
        <v>110633</v>
      </c>
      <c r="AH36" s="72">
        <v>110634</v>
      </c>
      <c r="AI36" s="72">
        <v>110635</v>
      </c>
      <c r="AJ36" s="72">
        <v>110636</v>
      </c>
      <c r="AK36" s="72">
        <v>110637</v>
      </c>
      <c r="AL36" s="72">
        <v>110638</v>
      </c>
      <c r="AM36" s="72">
        <v>570060</v>
      </c>
    </row>
    <row r="37" spans="1:439" ht="32.1" customHeight="1">
      <c r="A37" s="164"/>
      <c r="B37" s="137" t="str">
        <f>VLOOKUP("Stk",Sprachindex!A:Z,Info!$O$6,FALSE)</f>
        <v>STK</v>
      </c>
      <c r="C37" s="135"/>
      <c r="D37" s="136">
        <f t="shared" si="1"/>
        <v>0</v>
      </c>
      <c r="E37" s="264" t="str">
        <f>VLOOKUP("PREFA Jet-Lüfter-Endstück stucco",Sprachindex!A:Z,Info!$O$6,FALSE)</f>
        <v>PREFA Jet-Lüfter-Endstück stucco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38"/>
      <c r="P37" s="11"/>
      <c r="Q37" s="11" t="str">
        <f>ROUNDUP(A37/1,0)*1 &amp;" " &amp; VLOOKUP("Stk",Sprachindex!A:Z,Info!$O$6,FALSE)</f>
        <v>0 STK</v>
      </c>
      <c r="T37" s="72">
        <v>110600</v>
      </c>
      <c r="U37" s="72">
        <v>110601</v>
      </c>
      <c r="V37" s="72">
        <v>110602</v>
      </c>
      <c r="W37" s="72">
        <v>110603</v>
      </c>
      <c r="X37" s="72">
        <v>110604</v>
      </c>
      <c r="Y37" s="72">
        <v>110605</v>
      </c>
      <c r="Z37" s="72">
        <v>110606</v>
      </c>
      <c r="AA37" s="72">
        <v>110607</v>
      </c>
      <c r="AB37" s="72">
        <v>110608</v>
      </c>
      <c r="AC37" s="72">
        <v>510030</v>
      </c>
      <c r="AD37" s="72">
        <v>110610</v>
      </c>
      <c r="AE37" s="72">
        <v>110611</v>
      </c>
      <c r="AF37" s="72">
        <v>110612</v>
      </c>
      <c r="AG37" s="72">
        <v>110613</v>
      </c>
      <c r="AH37" s="72">
        <v>110614</v>
      </c>
      <c r="AI37" s="72">
        <v>110615</v>
      </c>
      <c r="AJ37" s="72">
        <v>110616</v>
      </c>
      <c r="AK37" s="72">
        <v>110617</v>
      </c>
      <c r="AL37" s="72">
        <v>110618</v>
      </c>
      <c r="AM37" s="72">
        <v>510060</v>
      </c>
    </row>
    <row r="38" spans="1:439" ht="32.1" customHeight="1">
      <c r="A38" s="164"/>
      <c r="B38" s="137" t="str">
        <f>VLOOKUP("Stk",Sprachindex!A:Z,Info!$O$6,FALSE)</f>
        <v>STK</v>
      </c>
      <c r="C38" s="135"/>
      <c r="D38" s="136">
        <f>IF(H38=Formeln!A15,IF($N$20=1,T38,IF($N$20=4,U38,IF($N$20=5,V38,IF($N$20=11,W38,IF($N$20=7,X38,IF($N$20=3,Y38,IF($N$20=6,Z38,IF($N$20=9,AA38,IF($N$20=2,AB38,IF($N$20=8,AC38,0)))))))))),IF(H38=Formeln!A16,AC38,0))</f>
        <v>0</v>
      </c>
      <c r="E38" s="264" t="str">
        <f>VLOOKUP("Niro-Schraube mit Dichtscheibe für Grat-/Firstreiter",Sprachindex!A:Z,Info!$O$6,FALSE)</f>
        <v>Niro-Schraube mit Dichtscheibe für Grat-/Firstreiter</v>
      </c>
      <c r="F38" s="265"/>
      <c r="G38" s="265"/>
      <c r="H38" s="269"/>
      <c r="I38" s="270"/>
      <c r="J38" s="270"/>
      <c r="K38" s="271"/>
      <c r="L38" s="137" t="str">
        <f t="shared" si="0"/>
        <v/>
      </c>
      <c r="M38" s="138"/>
      <c r="P38" s="11"/>
      <c r="Q38" s="11" t="str">
        <f>ROUNDUP(A38/250,0)*250 &amp;" " &amp; VLOOKUP("Stk",Sprachindex!A:Z,Info!$O$6,FALSE)</f>
        <v>0 STK</v>
      </c>
      <c r="T38" s="72">
        <v>340001</v>
      </c>
      <c r="U38" s="72">
        <v>340004</v>
      </c>
      <c r="V38" s="72">
        <v>340003</v>
      </c>
      <c r="W38" s="72">
        <v>340104</v>
      </c>
      <c r="Y38" s="72">
        <v>340002</v>
      </c>
      <c r="Z38" s="72">
        <v>340016</v>
      </c>
      <c r="AA38" s="72">
        <v>340011</v>
      </c>
      <c r="AC38" s="72">
        <v>340103</v>
      </c>
    </row>
    <row r="39" spans="1:439" ht="32.1" customHeight="1">
      <c r="A39" s="164"/>
      <c r="B39" s="137" t="str">
        <f>VLOOKUP("Stk",Sprachindex!A:Z,Info!$O$6,FALSE)</f>
        <v>STK</v>
      </c>
      <c r="C39" s="135"/>
      <c r="D39" s="141">
        <f>IF(H39=Formeln!A18,IF($N$20=1,T39,IF($N$20=4,U39,IF($N$20=5,V39,IF($N$20=11,W39,IF($N$20=7,X39,IF($N$20=3,Y39,IF($N$20=6,Z39,IF($N$20=9,AA39,IF($N$20=2,AB39,IF($N$20=8,AC39,0)))))))))),IF(H39=Formeln!A19,AC39,0))</f>
        <v>0</v>
      </c>
      <c r="E39" s="264" t="str">
        <f>VLOOKUP("Niro-Schraube mit Dichtscheibe für Jet-Lüfter",Sprachindex!A:Z,Info!$O$6,FALSE)</f>
        <v>Niro-Schraube mit Dichtscheibe für Jet-Lüfter</v>
      </c>
      <c r="F39" s="265"/>
      <c r="G39" s="265"/>
      <c r="H39" s="269"/>
      <c r="I39" s="270"/>
      <c r="J39" s="270"/>
      <c r="K39" s="271"/>
      <c r="L39" s="137" t="str">
        <f t="shared" si="0"/>
        <v/>
      </c>
      <c r="M39" s="138"/>
      <c r="P39" s="11"/>
      <c r="Q39" s="11" t="str">
        <f>ROUNDUP(A39/100,0)*100 &amp;" " &amp; VLOOKUP("Stk",Sprachindex!A:Z,Info!$O$6,FALSE)</f>
        <v>0 STK</v>
      </c>
      <c r="T39" s="72">
        <v>340020</v>
      </c>
      <c r="U39" s="72">
        <v>340024</v>
      </c>
      <c r="V39" s="72">
        <v>340022</v>
      </c>
      <c r="W39" s="72">
        <v>340021</v>
      </c>
      <c r="Y39" s="72">
        <v>340025</v>
      </c>
      <c r="Z39" s="72">
        <v>340032</v>
      </c>
      <c r="AA39" s="72">
        <v>340027</v>
      </c>
      <c r="AC39" s="72">
        <v>340106</v>
      </c>
    </row>
    <row r="40" spans="1:439" ht="32.1" customHeight="1">
      <c r="A40" s="164"/>
      <c r="B40" s="137" t="str">
        <f>VLOOKUP("Stk",Sprachindex!A:Z,Info!$O$6,FALSE)</f>
        <v>STK</v>
      </c>
      <c r="C40" s="135"/>
      <c r="D40" s="136">
        <f>IF($N$20=1,T40,IF($N$20=4,U40,IF($N$20=5,V40,IF($N$20=11,W40,IF($N$20=7,X40,IF($N$20=3,Y40,IF($N$20=6,Z40,IF($N$20=9,AA40,IF($N$20=2,AB40,IF($N$20=8,AC40,0))))))))))</f>
        <v>0</v>
      </c>
      <c r="E40" s="264" t="str">
        <f>VLOOKUP("PREFA Froschmaulluken-Haube zum aufnieten glatt
Lüftungsquerschnitt ca. 30 cm²",Sprachindex!A:Z,Info!$O$6,FALSE)</f>
        <v>PREFA Froschmaulluken-Haube zum aufnieten glatt
Lüftungsquerschnitt ca. 30 cm²</v>
      </c>
      <c r="F40" s="265"/>
      <c r="G40" s="265"/>
      <c r="H40" s="265"/>
      <c r="I40" s="265"/>
      <c r="J40" s="265"/>
      <c r="K40" s="266"/>
      <c r="L40" s="137" t="str">
        <f t="shared" si="0"/>
        <v/>
      </c>
      <c r="M40" s="138"/>
      <c r="P40" s="11"/>
      <c r="Q40" s="11" t="str">
        <f>ROUNDUP(A40/1,0)*1 &amp;" " &amp; VLOOKUP("Stk",Sprachindex!A:Z,Info!$O$6,FALSE)</f>
        <v>0 STK</v>
      </c>
      <c r="T40" s="72">
        <v>110100</v>
      </c>
      <c r="U40" s="72">
        <v>110101</v>
      </c>
      <c r="V40" s="72">
        <v>110102</v>
      </c>
      <c r="W40" s="72">
        <v>110103</v>
      </c>
      <c r="X40" s="72">
        <v>110104</v>
      </c>
      <c r="Y40" s="72">
        <v>110105</v>
      </c>
      <c r="Z40" s="72">
        <v>110106</v>
      </c>
      <c r="AA40" s="72">
        <v>110107</v>
      </c>
      <c r="AB40" s="72">
        <v>110108</v>
      </c>
      <c r="AC40" s="72">
        <v>512014</v>
      </c>
    </row>
    <row r="41" spans="1:439" ht="32.1" customHeight="1">
      <c r="A41" s="164"/>
      <c r="B41" s="137" t="str">
        <f>VLOOKUP("Stk",Sprachindex!A:Z,Info!$O$6,FALSE)</f>
        <v>STK</v>
      </c>
      <c r="C41" s="135"/>
      <c r="D41" s="142">
        <v>537730</v>
      </c>
      <c r="E41" s="264" t="str">
        <f>VLOOKUP("PREFA Dachluke (600x600 mm) komplett mit Holzrahmen",Sprachindex!A:Z,Info!$O$6,FALSE)</f>
        <v>PREFA Dachluke (600x600 mm) komplett mit Holzrahmen</v>
      </c>
      <c r="F41" s="265"/>
      <c r="G41" s="265"/>
      <c r="H41" s="265"/>
      <c r="I41" s="143"/>
      <c r="J41" s="143"/>
      <c r="K41" s="144"/>
      <c r="L41" s="137" t="str">
        <f t="shared" si="0"/>
        <v/>
      </c>
      <c r="M41" s="138"/>
      <c r="P41" s="11"/>
      <c r="Q41" s="11" t="str">
        <f>ROUNDUP(A41/1,0)*1 &amp;" " &amp; VLOOKUP("Stk",Sprachindex!A:Z,Info!$O$6,FALSE)</f>
        <v>0 STK</v>
      </c>
      <c r="T41" s="75" t="s">
        <v>1554</v>
      </c>
      <c r="U41" s="75" t="s">
        <v>1555</v>
      </c>
      <c r="V41" s="75" t="s">
        <v>1556</v>
      </c>
      <c r="W41" s="75" t="s">
        <v>1557</v>
      </c>
      <c r="X41" s="75" t="s">
        <v>1558</v>
      </c>
      <c r="Y41" s="75" t="s">
        <v>1559</v>
      </c>
      <c r="Z41" s="75" t="s">
        <v>1560</v>
      </c>
      <c r="AA41" s="75" t="s">
        <v>1561</v>
      </c>
      <c r="AB41" s="75" t="s">
        <v>1562</v>
      </c>
      <c r="AC41" s="75" t="s">
        <v>1563</v>
      </c>
      <c r="AD41" s="75" t="s">
        <v>1554</v>
      </c>
      <c r="AE41" s="75" t="s">
        <v>1555</v>
      </c>
      <c r="AF41" s="75" t="s">
        <v>1556</v>
      </c>
      <c r="AG41" s="75" t="s">
        <v>1557</v>
      </c>
      <c r="AH41" s="75" t="s">
        <v>1558</v>
      </c>
      <c r="AI41" s="75" t="s">
        <v>1559</v>
      </c>
      <c r="AJ41" s="75" t="s">
        <v>1560</v>
      </c>
      <c r="AK41" s="75" t="s">
        <v>1561</v>
      </c>
      <c r="AL41" s="75" t="s">
        <v>1562</v>
      </c>
      <c r="AM41" s="75" t="s">
        <v>1563</v>
      </c>
    </row>
    <row r="42" spans="1:439" ht="32.1" customHeight="1">
      <c r="A42" s="164"/>
      <c r="B42" s="137" t="str">
        <f>VLOOKUP("Stk",Sprachindex!A:Z,Info!$O$6,FALSE)</f>
        <v>STK</v>
      </c>
      <c r="C42" s="135"/>
      <c r="D42" s="136">
        <f>IF(J42=Formeln!A28,AM42,IF(J42=Formeln!A29,BG42,IF(J42=Formeln!A30,CA42,IF(J42=Formeln!A31,CU42,IF(J42=Formeln!A32,DO42,IF(J42=Formeln!A33,EI42,IF(J42=Formeln!A34,FC42,IF(J42=Formeln!A35,FW42,IF(J42=Formeln!A36,GQ42,IF(J42=Formeln!A37,HK42,IF(J42=Formeln!A38,IE42,IF(J42=Formeln!A39,IY42,IF(J42=Formeln!A40,JS42,IF(J42=Formeln!A41,KM42,IF(J42=Formeln!A42,LG42,IF(J42=Formeln!A43,MA42,IF(J42=Formeln!A44,MU42,IF(J42=Formeln!A45,NO42,IF(J42=Formeln!A42,OI42,IF(J42=Formeln!A47,PC42,IF(J42=Formeln!A48,PW42,0)))))))))))))))))))))</f>
        <v>0</v>
      </c>
      <c r="E42" s="264" t="str">
        <f>VLOOKUP("PREFA Einfassung für Velux-Dachflächenfenster stucco",Sprachindex!A:Z,Info!$O$6,FALSE)</f>
        <v>PREFA Einfassung für Velux-Dachflächenfenster stucco</v>
      </c>
      <c r="F42" s="265"/>
      <c r="G42" s="265"/>
      <c r="H42" s="265"/>
      <c r="I42" s="145" t="str">
        <f>VLOOKUP("Maße:",Sprachindex!A:Z,Info!$O$6,FALSE)</f>
        <v>Maße:</v>
      </c>
      <c r="J42" s="269"/>
      <c r="K42" s="270"/>
      <c r="L42" s="137" t="str">
        <f t="shared" si="0"/>
        <v/>
      </c>
      <c r="M42" s="138"/>
      <c r="P42" s="11"/>
      <c r="Q42" s="11" t="str">
        <f>ROUNDUP(A42/1,0)*1 &amp;" " &amp; VLOOKUP("Stk",Sprachindex!A:Z,Info!$O$6,FALSE)</f>
        <v>0 STK</v>
      </c>
      <c r="T42" s="72">
        <v>111110</v>
      </c>
      <c r="U42" s="76">
        <v>111111</v>
      </c>
      <c r="V42" s="76">
        <v>111112</v>
      </c>
      <c r="W42" s="76">
        <v>111113</v>
      </c>
      <c r="X42" s="76">
        <v>111114</v>
      </c>
      <c r="Y42" s="76">
        <v>111115</v>
      </c>
      <c r="Z42" s="76">
        <v>111116</v>
      </c>
      <c r="AA42" s="76">
        <v>111117</v>
      </c>
      <c r="AB42" s="76">
        <v>111118</v>
      </c>
      <c r="AD42" s="76">
        <v>111100</v>
      </c>
      <c r="AE42" s="76">
        <v>111101</v>
      </c>
      <c r="AF42" s="76">
        <v>111102</v>
      </c>
      <c r="AG42" s="76">
        <v>111103</v>
      </c>
      <c r="AH42" s="76">
        <v>111104</v>
      </c>
      <c r="AI42" s="76">
        <v>111105</v>
      </c>
      <c r="AJ42" s="76">
        <v>111106</v>
      </c>
      <c r="AK42" s="76">
        <v>111107</v>
      </c>
      <c r="AL42" s="76">
        <v>111108</v>
      </c>
      <c r="AM42" s="78">
        <f>IF(AND($N$8=2,$N$20=1),T42,IF(AND($N$8=2,$N$20=4),U42,IF(AND($N$8=2,$N$20=5),V42,IF(AND($N$8=2,$N$20=11),W42,IF(AND($N$8=2,$N$20=7),X42,IF(AND($N$8=2,$N$20=3),Y42,IF(AND($N$8=2,$N$20=6),Z42,IF(AND($N$8=2,$N$20=9),AA42,IF(AND($N$8=2,$N$20=2),AB42,IF(AND($N$8=2,$N$20=8),AC42,IF(AND($N$8=1,$N$20=1),AD42,IF(AND($N$8=1,$N$20=1),AD42,IF(AND($N$8=1,$N$20=4),AE42,IF(AND($N$8=1,$N$20=5),AF42,IF(AND($N$8=1,$N$20=11),AG42,IF(AND($N$8=1,$N$20=7),AH42,IF(AND($N$8=1,$N$20=3),AI42,IF(AND($N$8=1,$N$20=6),AJ42,IF(AND($N$8=1,$N$20=9),AK42,IF(AND($N$8=1,$N$20=2),AL42,0))))))))))))))))))))</f>
        <v>0</v>
      </c>
      <c r="AN42" s="77">
        <v>111110</v>
      </c>
      <c r="AO42" s="76">
        <v>111111</v>
      </c>
      <c r="AP42" s="76">
        <v>111112</v>
      </c>
      <c r="AQ42" s="76">
        <v>111113</v>
      </c>
      <c r="AR42" s="76">
        <v>111114</v>
      </c>
      <c r="AS42" s="76">
        <v>111115</v>
      </c>
      <c r="AT42" s="76">
        <v>111116</v>
      </c>
      <c r="AU42" s="76">
        <v>111117</v>
      </c>
      <c r="AV42" s="76">
        <v>111118</v>
      </c>
      <c r="AX42" s="76">
        <v>111100</v>
      </c>
      <c r="AY42" s="76">
        <v>111101</v>
      </c>
      <c r="AZ42" s="76">
        <v>111102</v>
      </c>
      <c r="BA42" s="76">
        <v>111103</v>
      </c>
      <c r="BB42" s="76">
        <v>111104</v>
      </c>
      <c r="BC42" s="76">
        <v>111105</v>
      </c>
      <c r="BD42" s="76">
        <v>111106</v>
      </c>
      <c r="BE42" s="76">
        <v>111107</v>
      </c>
      <c r="BF42" s="76">
        <v>111108</v>
      </c>
      <c r="BG42" s="78">
        <f>IF(AND($N$8=2,$N$20=1),AN42,IF(AND($N$8=2,$N$20=4),AO42,IF(AND($N$8=2,$N$20=5),AP42,IF(AND($N$8=2,$N$20=11),AQ42,IF(AND($N$8=2,$N$20=7),AR42,IF(AND($N$8=2,$N$20=3),AS42,IF(AND($N$8=2,$N$20=6),AT42,IF(AND($N$8=2,$N$20=9),AU42,IF(AND($N$8=2,$N$20=2),AV42,IF(AND($N$8=2,$N$20=8),AW42,IF(AND($N$8=1,$N$20=1),AX42,IF(AND($N$8=1,$N$20=1),AX42,IF(AND($N$8=1,$N$20=4),AY42,IF(AND($N$8=1,$N$20=5),AZ42,IF(AND($N$8=1,$N$20=11),BA42,IF(AND($N$8=1,$N$20=7),BB42,IF(AND($N$8=1,$N$20=3),BC42,IF(AND($N$8=1,$N$20=6),BD42,IF(AND($N$8=1,$N$20=9),BE42,IF(AND($N$8=1,$N$20=2),BF42,0))))))))))))))))))))</f>
        <v>0</v>
      </c>
      <c r="BH42" s="77">
        <v>111110</v>
      </c>
      <c r="BI42" s="76">
        <v>111111</v>
      </c>
      <c r="BJ42" s="76">
        <v>111112</v>
      </c>
      <c r="BK42" s="76">
        <v>111113</v>
      </c>
      <c r="BL42" s="76">
        <v>111114</v>
      </c>
      <c r="BM42" s="76">
        <v>111115</v>
      </c>
      <c r="BN42" s="76">
        <v>111116</v>
      </c>
      <c r="BO42" s="76">
        <v>111117</v>
      </c>
      <c r="BP42" s="76">
        <v>111118</v>
      </c>
      <c r="BR42" s="76">
        <v>111100</v>
      </c>
      <c r="BS42" s="76">
        <v>111101</v>
      </c>
      <c r="BT42" s="76">
        <v>111102</v>
      </c>
      <c r="BU42" s="76">
        <v>111103</v>
      </c>
      <c r="BV42" s="76">
        <v>111104</v>
      </c>
      <c r="BW42" s="76">
        <v>111105</v>
      </c>
      <c r="BX42" s="76">
        <v>111106</v>
      </c>
      <c r="BY42" s="76">
        <v>111107</v>
      </c>
      <c r="BZ42" s="76">
        <v>111108</v>
      </c>
      <c r="CA42" s="78">
        <f>IF(AND($N$8=2,$N$20=1),BH42,IF(AND($N$8=2,$N$20=4),BI42,IF(AND($N$8=2,$N$20=5),BJ42,IF(AND($N$8=2,$N$20=11),BK42,IF(AND($N$8=2,$N$20=7),BL42,IF(AND($N$8=2,$N$20=3),BM42,IF(AND($N$8=2,$N$20=6),BN42,IF(AND($N$8=2,$N$20=9),BO42,IF(AND($N$8=2,$N$20=2),BP42,IF(AND($N$8=2,$N$20=8),BQ42,IF(AND($N$8=1,$N$20=1),BR42,IF(AND($N$8=1,$N$20=1),BR42,IF(AND($N$8=1,$N$20=4),BS42,IF(AND($N$8=1,$N$20=5),BT42,IF(AND($N$8=1,$N$20=11),BU42,IF(AND($N$8=1,$N$20=7),BV42,IF(AND($N$8=1,$N$20=3),BW42,IF(AND($N$8=1,$N$20=6),BX42,IF(AND($N$8=1,$N$20=9),BY42,IF(AND($N$8=1,$N$20=2),BZ42,0))))))))))))))))))))</f>
        <v>0</v>
      </c>
      <c r="CB42" s="77">
        <v>111130</v>
      </c>
      <c r="CC42" s="72">
        <v>111131</v>
      </c>
      <c r="CD42" s="72">
        <v>111132</v>
      </c>
      <c r="CE42" s="72">
        <v>111133</v>
      </c>
      <c r="CF42" s="72">
        <v>111134</v>
      </c>
      <c r="CG42" s="72">
        <v>111135</v>
      </c>
      <c r="CH42" s="72">
        <v>111136</v>
      </c>
      <c r="CI42" s="72">
        <v>111137</v>
      </c>
      <c r="CJ42" s="72">
        <v>111138</v>
      </c>
      <c r="CL42" s="72">
        <v>111120</v>
      </c>
      <c r="CM42" s="72">
        <v>111121</v>
      </c>
      <c r="CN42" s="72">
        <v>111122</v>
      </c>
      <c r="CO42" s="72">
        <v>111123</v>
      </c>
      <c r="CP42" s="72">
        <v>111124</v>
      </c>
      <c r="CQ42" s="72">
        <v>111125</v>
      </c>
      <c r="CR42" s="72">
        <v>111126</v>
      </c>
      <c r="CS42" s="72">
        <v>111127</v>
      </c>
      <c r="CT42" s="72">
        <v>111128</v>
      </c>
      <c r="CU42" s="78">
        <f>IF(AND($N$8=2,$N$20=1),CB42,IF(AND($N$8=2,$N$20=4),CC42,IF(AND($N$8=2,$N$20=5),CD42,IF(AND($N$8=2,$N$20=11),CE42,IF(AND($N$8=2,$N$20=7),CF42,IF(AND($N$8=2,$N$20=3),CG42,IF(AND($N$8=2,$N$20=6),CH42,IF(AND($N$8=2,$N$20=9),CI42,IF(AND($N$8=2,$N$20=2),CJ42,IF(AND($N$8=2,$N$20=8),CK42,IF(AND($N$8=1,$N$20=1),CL42,IF(AND($N$8=1,$N$20=1),CL42,IF(AND($N$8=1,$N$20=4),CM42,IF(AND($N$8=1,$N$20=5),CN42,IF(AND($N$8=1,$N$20=11),CO42,IF(AND($N$8=1,$N$20=7),CP42,IF(AND($N$8=1,$N$20=3),CQ42,IF(AND($N$8=1,$N$20=6),CR42,IF(AND($N$8=1,$N$20=9),CS42,IF(AND($N$8=1,$N$20=2),CT42,0))))))))))))))))))))</f>
        <v>0</v>
      </c>
      <c r="CV42" s="77">
        <v>111130</v>
      </c>
      <c r="CW42" s="72">
        <v>111131</v>
      </c>
      <c r="CX42" s="72">
        <v>111132</v>
      </c>
      <c r="CY42" s="72">
        <v>111133</v>
      </c>
      <c r="CZ42" s="72">
        <v>111134</v>
      </c>
      <c r="DA42" s="72">
        <v>111135</v>
      </c>
      <c r="DB42" s="72">
        <v>111136</v>
      </c>
      <c r="DC42" s="72">
        <v>111137</v>
      </c>
      <c r="DD42" s="72">
        <v>111138</v>
      </c>
      <c r="DF42" s="72">
        <v>111120</v>
      </c>
      <c r="DG42" s="72">
        <v>111121</v>
      </c>
      <c r="DH42" s="72">
        <v>111122</v>
      </c>
      <c r="DI42" s="72">
        <v>111123</v>
      </c>
      <c r="DJ42" s="72">
        <v>111124</v>
      </c>
      <c r="DK42" s="72">
        <v>111125</v>
      </c>
      <c r="DL42" s="72">
        <v>111126</v>
      </c>
      <c r="DM42" s="72">
        <v>111127</v>
      </c>
      <c r="DN42" s="72">
        <v>111128</v>
      </c>
      <c r="DO42" s="78">
        <f>IF(AND($N$8=2,$N$20=1),CV42,IF(AND($N$8=2,$N$20=4),CW42,IF(AND($N$8=2,$N$20=5),CX42,IF(AND($N$8=2,$N$20=11),CY42,IF(AND($N$8=2,$N$20=7),CZ42,IF(AND($N$8=2,$N$20=3),DA42,IF(AND($N$8=2,$N$20=6),DB42,IF(AND($N$8=2,$N$20=9),DC42,IF(AND($N$8=2,$N$20=2),DD42,IF(AND($N$8=2,$N$20=8),DE42,IF(AND($N$8=1,$N$20=1),DF42,IF(AND($N$8=1,$N$20=1),DF42,IF(AND($N$8=1,$N$20=4),DG42,IF(AND($N$8=1,$N$20=5),DH42,IF(AND($N$8=1,$N$20=11),DI42,IF(AND($N$8=1,$N$20=7),DJ42,IF(AND($N$8=1,$N$20=3),DK42,IF(AND($N$8=1,$N$20=6),DL42,IF(AND($N$8=1,$N$20=9),DM42,IF(AND($N$8=1,$N$20=2),DN42,0))))))))))))))))))))</f>
        <v>0</v>
      </c>
      <c r="DP42" s="77">
        <v>111270</v>
      </c>
      <c r="DQ42" s="72">
        <v>111271</v>
      </c>
      <c r="DR42" s="72">
        <v>111272</v>
      </c>
      <c r="DS42" s="72">
        <v>111273</v>
      </c>
      <c r="DT42" s="72">
        <v>111274</v>
      </c>
      <c r="DU42" s="72">
        <v>111275</v>
      </c>
      <c r="DV42" s="72">
        <v>111276</v>
      </c>
      <c r="DW42" s="72">
        <v>111277</v>
      </c>
      <c r="DX42" s="72">
        <v>111278</v>
      </c>
      <c r="DZ42" s="72">
        <v>111260</v>
      </c>
      <c r="EA42" s="72">
        <v>111261</v>
      </c>
      <c r="EB42" s="72">
        <v>111262</v>
      </c>
      <c r="EC42" s="72">
        <v>111263</v>
      </c>
      <c r="ED42" s="72">
        <v>111264</v>
      </c>
      <c r="EE42" s="72">
        <v>111265</v>
      </c>
      <c r="EF42" s="72">
        <v>111266</v>
      </c>
      <c r="EG42" s="72">
        <v>111267</v>
      </c>
      <c r="EH42" s="72">
        <v>111268</v>
      </c>
      <c r="EI42" s="78">
        <f>IF(AND($N$8=2,$N$20=1),DP42,IF(AND($N$8=2,$N$20=4),DQ42,IF(AND($N$8=2,$N$20=5),DR42,IF(AND($N$8=2,$N$20=11),DS42,IF(AND($N$8=2,$N$20=7),DT42,IF(AND($N$8=2,$N$20=3),DU42,IF(AND($N$8=2,$N$20=6),DV42,IF(AND($N$8=2,$N$20=9),DW42,IF(AND($N$8=2,$N$20=2),DX42,IF(AND($N$8=2,$N$20=8),DY42,IF(AND($N$8=1,$N$20=1),DZ42,IF(AND($N$8=1,$N$20=1),DZ42,IF(AND($N$8=1,$N$20=4),EA42,IF(AND($N$8=1,$N$20=5),EB42,IF(AND($N$8=1,$N$20=11),EC42,IF(AND($N$8=1,$N$20=7),ED42,IF(AND($N$8=1,$N$20=3),EE42,IF(AND($N$8=1,$N$20=6),EF42,IF(AND($N$8=1,$N$20=9),EG42,IF(AND($N$8=1,$N$20=2),EH42,0))))))))))))))))))))</f>
        <v>0</v>
      </c>
      <c r="EJ42" s="77">
        <v>111170</v>
      </c>
      <c r="EK42" s="72">
        <v>111171</v>
      </c>
      <c r="EL42" s="72">
        <v>111172</v>
      </c>
      <c r="EM42" s="72">
        <v>111173</v>
      </c>
      <c r="EN42" s="72">
        <v>111174</v>
      </c>
      <c r="EO42" s="72">
        <v>111175</v>
      </c>
      <c r="EP42" s="72">
        <v>111176</v>
      </c>
      <c r="EQ42" s="72">
        <v>111177</v>
      </c>
      <c r="ER42" s="72">
        <v>111178</v>
      </c>
      <c r="ET42" s="72">
        <v>111160</v>
      </c>
      <c r="EU42" s="72">
        <v>111161</v>
      </c>
      <c r="EV42" s="72">
        <v>111162</v>
      </c>
      <c r="EW42" s="72">
        <v>111163</v>
      </c>
      <c r="EX42" s="72">
        <v>111164</v>
      </c>
      <c r="EY42" s="72">
        <v>111165</v>
      </c>
      <c r="EZ42" s="72">
        <v>111166</v>
      </c>
      <c r="FA42" s="72">
        <v>111167</v>
      </c>
      <c r="FB42" s="72">
        <v>111168</v>
      </c>
      <c r="FC42" s="78">
        <f>IF(AND($N$8=2,$N$20=1),EJ42,IF(AND($N$8=2,$N$20=4),EK42,IF(AND($N$8=2,$N$20=5),EL42,IF(AND($N$8=2,$N$20=11),EM42,IF(AND($N$8=2,$N$20=7),EN42,IF(AND($N$8=2,$N$20=3),EO42,IF(AND($N$8=2,$N$20=6),EP42,IF(AND($N$8=2,$N$20=9),EQ42,IF(AND($N$8=2,$N$20=2),ER42,IF(AND($N$8=2,$N$20=8),ES42,IF(AND($N$8=1,$N$20=1),ET42,IF(AND($N$8=1,$N$20=1),ET42,IF(AND($N$8=1,$N$20=4),EU42,IF(AND($N$8=1,$N$20=5),EV42,IF(AND($N$8=1,$N$20=11),EW42,IF(AND($N$8=1,$N$20=7),EX42,IF(AND($N$8=1,$N$20=3),EY42,IF(AND($N$8=1,$N$20=6),EZ42,IF(AND($N$8=1,$N$20=9),FA42,IF(AND($N$8=1,$N$20=2),FB42,0))))))))))))))))))))</f>
        <v>0</v>
      </c>
      <c r="FD42" s="77">
        <v>111170</v>
      </c>
      <c r="FE42" s="72">
        <v>111171</v>
      </c>
      <c r="FF42" s="72">
        <v>111172</v>
      </c>
      <c r="FG42" s="72">
        <v>111173</v>
      </c>
      <c r="FH42" s="72">
        <v>111174</v>
      </c>
      <c r="FI42" s="72">
        <v>111175</v>
      </c>
      <c r="FJ42" s="72">
        <v>111176</v>
      </c>
      <c r="FK42" s="72">
        <v>111177</v>
      </c>
      <c r="FL42" s="72">
        <v>111178</v>
      </c>
      <c r="FN42" s="72">
        <v>111160</v>
      </c>
      <c r="FO42" s="72">
        <v>111161</v>
      </c>
      <c r="FP42" s="72">
        <v>111162</v>
      </c>
      <c r="FQ42" s="72">
        <v>111163</v>
      </c>
      <c r="FR42" s="72">
        <v>111164</v>
      </c>
      <c r="FS42" s="72">
        <v>111165</v>
      </c>
      <c r="FT42" s="72">
        <v>111166</v>
      </c>
      <c r="FU42" s="72">
        <v>111167</v>
      </c>
      <c r="FV42" s="72">
        <v>111168</v>
      </c>
      <c r="FW42" s="78">
        <f>IF(AND($N$8=2,$N$20=1),FD42,IF(AND($N$8=2,$N$20=4),FE42,IF(AND($N$8=2,$N$20=5),FF42,IF(AND($N$8=2,$N$20=11),FG42,IF(AND($N$8=2,$N$20=7),FH42,IF(AND($N$8=2,$N$20=3),FI42,IF(AND($N$8=2,$N$20=6),FJ42,IF(AND($N$8=2,$N$20=9),FK42,IF(AND($N$8=2,$N$20=2),FL42,IF(AND($N$8=2,$N$20=8),FM42,IF(AND($N$8=1,$N$20=1),FN42,IF(AND($N$8=1,$N$20=1),FN42,IF(AND($N$8=1,$N$20=4),FO42,IF(AND($N$8=1,$N$20=5),FP42,IF(AND($N$8=1,$N$20=11),FQ42,IF(AND($N$8=1,$N$20=7),FR42,IF(AND($N$8=1,$N$20=3),FS42,IF(AND($N$8=1,$N$20=6),FT42,IF(AND($N$8=1,$N$20=9),FU42,IF(AND($N$8=1,$N$20=2),FV42,0))))))))))))))))))))</f>
        <v>0</v>
      </c>
      <c r="FX42" s="77">
        <v>111170</v>
      </c>
      <c r="FY42" s="72">
        <v>111171</v>
      </c>
      <c r="FZ42" s="72">
        <v>111172</v>
      </c>
      <c r="GA42" s="72">
        <v>111173</v>
      </c>
      <c r="GB42" s="72">
        <v>111174</v>
      </c>
      <c r="GC42" s="72">
        <v>111175</v>
      </c>
      <c r="GD42" s="72">
        <v>111176</v>
      </c>
      <c r="GE42" s="72">
        <v>111177</v>
      </c>
      <c r="GF42" s="72">
        <v>111178</v>
      </c>
      <c r="GH42" s="72">
        <v>111160</v>
      </c>
      <c r="GI42" s="72">
        <v>111161</v>
      </c>
      <c r="GJ42" s="72">
        <v>111162</v>
      </c>
      <c r="GK42" s="72">
        <v>111163</v>
      </c>
      <c r="GL42" s="72">
        <v>111164</v>
      </c>
      <c r="GM42" s="72">
        <v>111165</v>
      </c>
      <c r="GN42" s="72">
        <v>111166</v>
      </c>
      <c r="GO42" s="72">
        <v>111167</v>
      </c>
      <c r="GP42" s="72">
        <v>111168</v>
      </c>
      <c r="GQ42" s="78">
        <f>IF(AND($N$8=2,$N$20=1),FX42,IF(AND($N$8=2,$N$20=4),FY42,IF(AND($N$8=2,$N$20=5),FZ42,IF(AND($N$8=2,$N$20=11),GA42,IF(AND($N$8=2,$N$20=7),GB42,IF(AND($N$8=2,$N$20=3),GC42,IF(AND($N$8=2,$N$20=6),GD42,IF(AND($N$8=2,$N$20=9),GE42,IF(AND($N$8=2,$N$20=2),GF42,IF(AND($N$8=2,$N$20=8),GG42,IF(AND($N$8=1,$N$20=1),GH42,IF(AND($N$8=1,$N$20=1),GH42,IF(AND($N$8=1,$N$20=4),GI42,IF(AND($N$8=1,$N$20=5),GJ42,IF(AND($N$8=1,$N$20=11),GK42,IF(AND($N$8=1,$N$20=7),GL42,IF(AND($N$8=1,$N$20=3),GM42,IF(AND($N$8=1,$N$20=6),GN42,IF(AND($N$8=1,$N$20=9),GO42,IF(AND($N$8=1,$N$20=2),GP42,0))))))))))))))))))))</f>
        <v>0</v>
      </c>
      <c r="GR42" s="77">
        <v>111290</v>
      </c>
      <c r="GS42" s="72">
        <v>111291</v>
      </c>
      <c r="GT42" s="72">
        <v>111292</v>
      </c>
      <c r="GU42" s="72">
        <v>111293</v>
      </c>
      <c r="GV42" s="72">
        <v>111294</v>
      </c>
      <c r="GW42" s="72">
        <v>111295</v>
      </c>
      <c r="GX42" s="72">
        <v>111296</v>
      </c>
      <c r="GY42" s="72">
        <v>111297</v>
      </c>
      <c r="GZ42" s="72">
        <v>111298</v>
      </c>
      <c r="HB42" s="72">
        <v>111280</v>
      </c>
      <c r="HC42" s="72">
        <v>111281</v>
      </c>
      <c r="HD42" s="72">
        <v>111282</v>
      </c>
      <c r="HE42" s="72">
        <v>111283</v>
      </c>
      <c r="HF42" s="72">
        <v>111284</v>
      </c>
      <c r="HG42" s="72">
        <v>111285</v>
      </c>
      <c r="HH42" s="72">
        <v>111286</v>
      </c>
      <c r="HI42" s="72">
        <v>111287</v>
      </c>
      <c r="HJ42" s="72">
        <v>111288</v>
      </c>
      <c r="HK42" s="78">
        <f>IF(AND($N$8=2,$N$20=1),GR42,IF(AND($N$8=2,$N$20=4),GS42,IF(AND($N$8=2,$N$20=5),GT42,IF(AND($N$8=2,$N$20=11),GU42,IF(AND($N$8=2,$N$20=7),GV42,IF(AND($N$8=2,$N$20=3),GW42,IF(AND($N$8=2,$N$20=6),GX42,IF(AND($N$8=2,$N$20=9),GY42,IF(AND($N$8=2,$N$20=2),GZ42,IF(AND($N$8=2,$N$20=8),HA42,IF(AND($N$8=1,$N$20=1),HB42,IF(AND($N$8=1,$N$20=1),HB42,IF(AND($N$8=1,$N$20=4),HC42,IF(AND($N$8=1,$N$20=5),HD42,IF(AND($N$8=1,$N$20=11),HE42,IF(AND($N$8=1,$N$20=7),HF42,IF(AND($N$8=1,$N$20=3),HG42,IF(AND($N$8=1,$N$20=6),HH42,IF(AND($N$8=1,$N$20=9),HI42,IF(AND($N$8=1,$N$20=2),HJ42,0))))))))))))))))))))</f>
        <v>0</v>
      </c>
      <c r="HL42" s="77">
        <v>111290</v>
      </c>
      <c r="HM42" s="72">
        <v>111291</v>
      </c>
      <c r="HN42" s="72">
        <v>111292</v>
      </c>
      <c r="HO42" s="72">
        <v>111293</v>
      </c>
      <c r="HP42" s="72">
        <v>111294</v>
      </c>
      <c r="HQ42" s="72">
        <v>111295</v>
      </c>
      <c r="HR42" s="72">
        <v>111296</v>
      </c>
      <c r="HS42" s="72">
        <v>111297</v>
      </c>
      <c r="HT42" s="72">
        <v>111298</v>
      </c>
      <c r="HV42" s="72">
        <v>111280</v>
      </c>
      <c r="HW42" s="72">
        <v>111281</v>
      </c>
      <c r="HX42" s="72">
        <v>111282</v>
      </c>
      <c r="HY42" s="72">
        <v>111283</v>
      </c>
      <c r="HZ42" s="72">
        <v>111284</v>
      </c>
      <c r="IA42" s="72">
        <v>111285</v>
      </c>
      <c r="IB42" s="72">
        <v>111286</v>
      </c>
      <c r="IC42" s="72">
        <v>111287</v>
      </c>
      <c r="ID42" s="72">
        <v>111288</v>
      </c>
      <c r="IE42" s="78">
        <f>IF(AND($N$8=2,$N$20=1),HL42,IF(AND($N$8=2,$N$20=4),HM42,IF(AND($N$8=2,$N$20=5),HN42,IF(AND($N$8=2,$N$20=11),HO42,IF(AND($N$8=2,$N$20=7),HP42,IF(AND($N$8=2,$N$20=3),HQ42,IF(AND($N$8=2,$N$20=6),HR42,IF(AND($N$8=2,$N$20=9),HS42,IF(AND($N$8=2,$N$20=2),HT42,IF(AND($N$8=2,$N$20=8),HU42,IF(AND($N$8=1,$N$20=1),HV42,IF(AND($N$8=1,$N$20=1),HV42,IF(AND($N$8=1,$N$20=4),HW42,IF(AND($N$8=1,$N$20=5),HX42,IF(AND($N$8=1,$N$20=11),HY42,IF(AND($N$8=1,$N$20=7),HZ42,IF(AND($N$8=1,$N$20=3),IA42,IF(AND($N$8=1,$N$20=6),IB42,IF(AND($N$8=1,$N$20=9),IC42,IF(AND($N$8=1,$N$20=2),ID42,0))))))))))))))))))))</f>
        <v>0</v>
      </c>
      <c r="IF42" s="77">
        <v>111190</v>
      </c>
      <c r="IG42" s="72">
        <v>111191</v>
      </c>
      <c r="IH42" s="72">
        <v>111192</v>
      </c>
      <c r="II42" s="72">
        <v>111193</v>
      </c>
      <c r="IJ42" s="72">
        <v>111194</v>
      </c>
      <c r="IK42" s="72">
        <v>111195</v>
      </c>
      <c r="IL42" s="72">
        <v>111196</v>
      </c>
      <c r="IM42" s="72">
        <v>111197</v>
      </c>
      <c r="IN42" s="72">
        <v>111198</v>
      </c>
      <c r="IP42" s="72">
        <v>111180</v>
      </c>
      <c r="IQ42" s="72">
        <v>111181</v>
      </c>
      <c r="IR42" s="72">
        <v>111182</v>
      </c>
      <c r="IS42" s="72">
        <v>111183</v>
      </c>
      <c r="IT42" s="72">
        <v>111184</v>
      </c>
      <c r="IU42" s="72">
        <v>111185</v>
      </c>
      <c r="IV42" s="72">
        <v>111186</v>
      </c>
      <c r="IW42" s="72">
        <v>111187</v>
      </c>
      <c r="IX42" s="72">
        <v>111188</v>
      </c>
      <c r="IY42" s="78">
        <f>IF(AND($N$8=2,$N$20=1),IF42,IF(AND($N$8=2,$N$20=4),IG42,IF(AND($N$8=2,$N$20=5),IH42,IF(AND($N$8=2,$N$20=11),II42,IF(AND($N$8=2,$N$20=7),IJ42,IF(AND($N$8=2,$N$20=3),IK42,IF(AND($N$8=2,$N$20=6),IL42,IF(AND($N$8=2,$N$20=9),IM42,IF(AND($N$8=2,$N$20=2),IN42,IF(AND($N$8=2,$N$20=8),IO42,IF(AND($N$8=1,$N$20=1),IP42,IF(AND($N$8=1,$N$20=1),IP42,IF(AND($N$8=1,$N$20=4),IQ42,IF(AND($N$8=1,$N$20=5),IR42,IF(AND($N$8=1,$N$20=11),IS42,IF(AND($N$8=1,$N$20=7),IT42,IF(AND($N$8=1,$N$20=3),IU42,IF(AND($N$8=1,$N$20=6),IV42,IF(AND($N$8=1,$N$20=9),IW42,IF(AND($N$8=1,$N$20=2),IX42,0))))))))))))))))))))</f>
        <v>0</v>
      </c>
      <c r="IZ42" s="77">
        <v>111190</v>
      </c>
      <c r="JA42" s="72">
        <v>111191</v>
      </c>
      <c r="JB42" s="72">
        <v>111192</v>
      </c>
      <c r="JC42" s="72">
        <v>111193</v>
      </c>
      <c r="JD42" s="72">
        <v>111194</v>
      </c>
      <c r="JE42" s="72">
        <v>111195</v>
      </c>
      <c r="JF42" s="72">
        <v>111196</v>
      </c>
      <c r="JG42" s="72">
        <v>111197</v>
      </c>
      <c r="JH42" s="72">
        <v>111198</v>
      </c>
      <c r="JJ42" s="72">
        <v>111180</v>
      </c>
      <c r="JK42" s="72">
        <v>111181</v>
      </c>
      <c r="JL42" s="72">
        <v>111182</v>
      </c>
      <c r="JM42" s="72">
        <v>111183</v>
      </c>
      <c r="JN42" s="72">
        <v>111184</v>
      </c>
      <c r="JO42" s="72">
        <v>111185</v>
      </c>
      <c r="JP42" s="72">
        <v>111186</v>
      </c>
      <c r="JQ42" s="72">
        <v>111187</v>
      </c>
      <c r="JR42" s="72">
        <v>111188</v>
      </c>
      <c r="JS42" s="78">
        <f>IF(AND($N$8=2,$N$20=1),IZ42,IF(AND($N$8=2,$N$20=4),JA42,IF(AND($N$8=2,$N$20=5),JB42,IF(AND($N$8=2,$N$20=11),JC42,IF(AND($N$8=2,$N$20=7),JD42,IF(AND($N$8=2,$N$20=3),JE42,IF(AND($N$8=2,$N$20=6),JF42,IF(AND($N$8=2,$N$20=9),JG42,IF(AND($N$8=2,$N$20=2),JH42,IF(AND($N$8=2,$N$20=8),JI42,IF(AND($N$8=1,$N$20=1),JJ42,IF(AND($N$8=1,$N$20=1),JJ42,IF(AND($N$8=1,$N$20=4),JK42,IF(AND($N$8=1,$N$20=5),JL42,IF(AND($N$8=1,$N$20=11),JM42,IF(AND($N$8=1,$N$20=7),JN42,IF(AND($N$8=1,$N$20=3),JO42,IF(AND($N$8=1,$N$20=6),JP42,IF(AND($N$8=1,$N$20=9),JQ42,IF(AND($N$8=1,$N$20=2),JR42,0))))))))))))))))))))</f>
        <v>0</v>
      </c>
      <c r="JT42" s="77">
        <v>111190</v>
      </c>
      <c r="JU42" s="72">
        <v>111191</v>
      </c>
      <c r="JV42" s="72">
        <v>111192</v>
      </c>
      <c r="JW42" s="72">
        <v>111193</v>
      </c>
      <c r="JX42" s="72">
        <v>111194</v>
      </c>
      <c r="JY42" s="72">
        <v>111195</v>
      </c>
      <c r="JZ42" s="72">
        <v>111196</v>
      </c>
      <c r="KA42" s="72">
        <v>111197</v>
      </c>
      <c r="KB42" s="72">
        <v>111198</v>
      </c>
      <c r="KD42" s="72">
        <v>111180</v>
      </c>
      <c r="KE42" s="72">
        <v>111181</v>
      </c>
      <c r="KF42" s="72">
        <v>111182</v>
      </c>
      <c r="KG42" s="72">
        <v>111183</v>
      </c>
      <c r="KH42" s="72">
        <v>111184</v>
      </c>
      <c r="KI42" s="72">
        <v>111185</v>
      </c>
      <c r="KJ42" s="72">
        <v>111186</v>
      </c>
      <c r="KK42" s="72">
        <v>111187</v>
      </c>
      <c r="KL42" s="72">
        <v>111188</v>
      </c>
      <c r="KM42" s="78">
        <f>IF(AND($N$8=2,$N$20=1),JT42,IF(AND($N$8=2,$N$20=4),JU42,IF(AND($N$8=2,$N$20=5),JV42,IF(AND($N$8=2,$N$20=11),JW42,IF(AND($N$8=2,$N$20=7),JX42,IF(AND($N$8=2,$N$20=3),JY42,IF(AND($N$8=2,$N$20=6),JZ42,IF(AND($N$8=2,$N$20=9),KA42,IF(AND($N$8=2,$N$20=2),KB42,IF(AND($N$8=2,$N$20=8),KC42,IF(AND($N$8=1,$N$20=1),KD42,IF(AND($N$8=1,$N$20=1),KD42,IF(AND($N$8=1,$N$20=4),KE42,IF(AND($N$8=1,$N$20=5),KF42,IF(AND($N$8=1,$N$20=11),KG42,IF(AND($N$8=1,$N$20=7),KH42,IF(AND($N$8=1,$N$20=3),KI42,IF(AND($N$8=1,$N$20=6),KJ42,IF(AND($N$8=1,$N$20=9),KK42,IF(AND($N$8=1,$N$20=2),KL42,0))))))))))))))))))))</f>
        <v>0</v>
      </c>
      <c r="KN42" s="77">
        <v>111210</v>
      </c>
      <c r="KO42" s="72">
        <v>111211</v>
      </c>
      <c r="KP42" s="72">
        <v>111212</v>
      </c>
      <c r="KQ42" s="72">
        <v>111213</v>
      </c>
      <c r="KR42" s="72">
        <v>111214</v>
      </c>
      <c r="KS42" s="72">
        <v>111215</v>
      </c>
      <c r="KT42" s="72">
        <v>111216</v>
      </c>
      <c r="KU42" s="72">
        <v>111217</v>
      </c>
      <c r="KV42" s="72">
        <v>111218</v>
      </c>
      <c r="KX42" s="72">
        <v>111200</v>
      </c>
      <c r="KY42" s="72">
        <v>111201</v>
      </c>
      <c r="KZ42" s="72">
        <v>111202</v>
      </c>
      <c r="LA42" s="72">
        <v>111203</v>
      </c>
      <c r="LB42" s="72">
        <v>111204</v>
      </c>
      <c r="LC42" s="72">
        <v>111205</v>
      </c>
      <c r="LD42" s="72">
        <v>111206</v>
      </c>
      <c r="LE42" s="72">
        <v>111207</v>
      </c>
      <c r="LF42" s="72">
        <v>111208</v>
      </c>
      <c r="LG42" s="78">
        <f>IF(AND($N$8=2,$N$20=1),KN42,IF(AND($N$8=2,$N$20=4),KO42,IF(AND($N$8=2,$N$20=5),KP42,IF(AND($N$8=2,$N$20=11),KQ42,IF(AND($N$8=2,$N$20=7),KR42,IF(AND($N$8=2,$N$20=3),KS42,IF(AND($N$8=2,$N$20=6),KT42,IF(AND($N$8=2,$N$20=9),KU42,IF(AND($N$8=2,$N$20=2),KV42,IF(AND($N$8=2,$N$20=8),KW42,IF(AND($N$8=1,$N$20=1),KX42,IF(AND($N$8=1,$N$20=1),KX42,IF(AND($N$8=1,$N$20=4),KY42,IF(AND($N$8=1,$N$20=5),KZ42,IF(AND($N$8=1,$N$20=11),LA42,IF(AND($N$8=1,$N$20=7),LB42,IF(AND($N$8=1,$N$20=3),LC42,IF(AND($N$8=1,$N$20=6),LD42,IF(AND($N$8=1,$N$20=9),LE42,IF(AND($N$8=1,$N$20=2),LF42,0))))))))))))))))))))</f>
        <v>0</v>
      </c>
      <c r="LH42" s="77">
        <v>111230</v>
      </c>
      <c r="LI42" s="72">
        <v>111231</v>
      </c>
      <c r="LJ42" s="72">
        <v>111232</v>
      </c>
      <c r="LK42" s="72">
        <v>111233</v>
      </c>
      <c r="LL42" s="72">
        <v>111234</v>
      </c>
      <c r="LM42" s="72">
        <v>111235</v>
      </c>
      <c r="LN42" s="72">
        <v>111236</v>
      </c>
      <c r="LO42" s="72">
        <v>111237</v>
      </c>
      <c r="LP42" s="72">
        <v>111238</v>
      </c>
      <c r="LR42" s="72">
        <v>111220</v>
      </c>
      <c r="LS42" s="72">
        <v>111221</v>
      </c>
      <c r="LT42" s="72">
        <v>111222</v>
      </c>
      <c r="LU42" s="72">
        <v>111223</v>
      </c>
      <c r="LV42" s="72">
        <v>111224</v>
      </c>
      <c r="LW42" s="72">
        <v>111225</v>
      </c>
      <c r="LX42" s="72">
        <v>111226</v>
      </c>
      <c r="LY42" s="72">
        <v>111227</v>
      </c>
      <c r="LZ42" s="72">
        <v>111228</v>
      </c>
      <c r="MA42" s="78">
        <f>IF(AND($N$8=2,$N$20=1),LH42,IF(AND($N$8=2,$N$20=4),LI42,IF(AND($N$8=2,$N$20=5),LJ42,IF(AND($N$8=2,$N$20=11),LK42,IF(AND($N$8=2,$N$20=7),LL42,IF(AND($N$8=2,$N$20=3),LM42,IF(AND($N$8=2,$N$20=6),LN42,IF(AND($N$8=2,$N$20=9),LO42,IF(AND($N$8=2,$N$20=2),LP42,IF(AND($N$8=2,$N$20=8),LQ42,IF(AND($N$8=1,$N$20=1),LR42,IF(AND($N$8=1,$N$20=1),LR42,IF(AND($N$8=1,$N$20=4),LS42,IF(AND($N$8=1,$N$20=5),LT42,IF(AND($N$8=1,$N$20=11),LU42,IF(AND($N$8=1,$N$20=7),LV42,IF(AND($N$8=1,$N$20=3),LW42,IF(AND($N$8=1,$N$20=6),LX42,IF(AND($N$8=1,$N$20=9),LY42,IF(AND($N$8=1,$N$20=2),LZ42,0))))))))))))))))))))</f>
        <v>0</v>
      </c>
      <c r="MB42" s="77">
        <v>111230</v>
      </c>
      <c r="MC42" s="72">
        <v>111231</v>
      </c>
      <c r="MD42" s="72">
        <v>111232</v>
      </c>
      <c r="ME42" s="72">
        <v>111233</v>
      </c>
      <c r="MF42" s="72">
        <v>111234</v>
      </c>
      <c r="MG42" s="72">
        <v>111235</v>
      </c>
      <c r="MH42" s="72">
        <v>111236</v>
      </c>
      <c r="MI42" s="72">
        <v>111237</v>
      </c>
      <c r="MJ42" s="72">
        <v>111238</v>
      </c>
      <c r="ML42" s="72">
        <v>111220</v>
      </c>
      <c r="MM42" s="72">
        <v>111221</v>
      </c>
      <c r="MN42" s="72">
        <v>111222</v>
      </c>
      <c r="MO42" s="72">
        <v>111223</v>
      </c>
      <c r="MP42" s="72">
        <v>111224</v>
      </c>
      <c r="MQ42" s="72">
        <v>111225</v>
      </c>
      <c r="MR42" s="72">
        <v>111226</v>
      </c>
      <c r="MS42" s="72">
        <v>111227</v>
      </c>
      <c r="MT42" s="72">
        <v>111228</v>
      </c>
      <c r="MU42" s="78">
        <f>IF(AND($N$8=2,$N$20=1),MB42,IF(AND($N$8=2,$N$20=4),MC42,IF(AND($N$8=2,$N$20=5),MD42,IF(AND($N$8=2,$N$20=11),ME42,IF(AND($N$8=2,$N$20=7),MF42,IF(AND($N$8=2,$N$20=3),MG42,IF(AND($N$8=2,$N$20=6),MH42,IF(AND($N$8=2,$N$20=9),MI42,IF(AND($N$8=2,$N$20=2),MJ42,IF(AND($N$8=2,$N$20=8),MK42,IF(AND($N$8=1,$N$20=1),ML42,IF(AND($N$8=1,$N$20=1),ML42,IF(AND($N$8=1,$N$20=4),MM42,IF(AND($N$8=1,$N$20=5),MN42,IF(AND($N$8=1,$N$20=11),MO42,IF(AND($N$8=1,$N$20=7),MP42,IF(AND($N$8=1,$N$20=3),MQ42,IF(AND($N$8=1,$N$20=6),MR42,IF(AND($N$8=1,$N$20=9),MS42,IF(AND($N$8=1,$N$20=2),MT42,0))))))))))))))))))))</f>
        <v>0</v>
      </c>
      <c r="MV42" s="77">
        <v>111610</v>
      </c>
      <c r="MW42" s="72">
        <v>111611</v>
      </c>
      <c r="MX42" s="72">
        <v>111612</v>
      </c>
      <c r="MY42" s="72">
        <v>111613</v>
      </c>
      <c r="MZ42" s="72">
        <v>111614</v>
      </c>
      <c r="NA42" s="72">
        <v>111615</v>
      </c>
      <c r="NB42" s="72">
        <v>111616</v>
      </c>
      <c r="NC42" s="72">
        <v>111617</v>
      </c>
      <c r="ND42" s="72">
        <v>111618</v>
      </c>
      <c r="NF42" s="72">
        <v>111600</v>
      </c>
      <c r="NG42" s="72">
        <v>111601</v>
      </c>
      <c r="NH42" s="72">
        <v>111602</v>
      </c>
      <c r="NI42" s="72">
        <v>111603</v>
      </c>
      <c r="NJ42" s="72">
        <v>111604</v>
      </c>
      <c r="NK42" s="72">
        <v>111605</v>
      </c>
      <c r="NL42" s="72">
        <v>111606</v>
      </c>
      <c r="NM42" s="72">
        <v>111607</v>
      </c>
      <c r="NN42" s="72">
        <v>111608</v>
      </c>
      <c r="NO42" s="78">
        <f>IF(AND($N$8=2,$N$20=1),MV42,IF(AND($N$8=2,$N$20=4),MW42,IF(AND($N$8=2,$N$20=5),MX42,IF(AND($N$8=2,$N$20=11),MY42,IF(AND($N$8=2,$N$20=7),MZ42,IF(AND($N$8=2,$N$20=3),NA42,IF(AND($N$8=2,$N$20=6),NB42,IF(AND($N$8=2,$N$20=9),NC42,IF(AND($N$8=2,$N$20=2),ND42,IF(AND($N$8=2,$N$20=8),NE42,IF(AND($N$8=1,$N$20=1),NF42,IF(AND($N$8=1,$N$20=1),NF42,IF(AND($N$8=1,$N$20=4),NG42,IF(AND($N$8=1,$N$20=5),NH42,IF(AND($N$8=1,$N$20=11),NI42,IF(AND($N$8=1,$N$20=7),NJ42,IF(AND($N$8=1,$N$20=3),NK42,IF(AND($N$8=1,$N$20=6),NL42,IF(AND($N$8=1,$N$20=9),NM42,IF(AND($N$8=1,$N$20=2),NN42,0))))))))))))))))))))</f>
        <v>0</v>
      </c>
      <c r="NP42" s="77">
        <v>111250</v>
      </c>
      <c r="NQ42" s="72">
        <v>111251</v>
      </c>
      <c r="NR42" s="72">
        <v>111252</v>
      </c>
      <c r="NS42" s="72">
        <v>111253</v>
      </c>
      <c r="NT42" s="72">
        <v>111254</v>
      </c>
      <c r="NU42" s="72">
        <v>111255</v>
      </c>
      <c r="NV42" s="72">
        <v>111256</v>
      </c>
      <c r="NW42" s="72">
        <v>111257</v>
      </c>
      <c r="NX42" s="72">
        <v>111258</v>
      </c>
      <c r="NZ42" s="72">
        <v>111240</v>
      </c>
      <c r="OA42" s="72">
        <v>111241</v>
      </c>
      <c r="OB42" s="72">
        <v>111242</v>
      </c>
      <c r="OC42" s="72">
        <v>111243</v>
      </c>
      <c r="OD42" s="72">
        <v>111244</v>
      </c>
      <c r="OE42" s="72">
        <v>111245</v>
      </c>
      <c r="OF42" s="72">
        <v>111246</v>
      </c>
      <c r="OG42" s="72">
        <v>111247</v>
      </c>
      <c r="OH42" s="72">
        <v>111248</v>
      </c>
      <c r="OI42" s="78">
        <f>IF(AND($N$8=2,$N$20=1),NP42,IF(AND($N$8=2,$N$20=4),NQ42,IF(AND($N$8=2,$N$20=5),NR42,IF(AND($N$8=2,$N$20=11),NS42,IF(AND($N$8=2,$N$20=7),NT42,IF(AND($N$8=2,$N$20=3),NU42,IF(AND($N$8=2,$N$20=6),NV42,IF(AND($N$8=2,$N$20=9),NW42,IF(AND($N$8=2,$N$20=2),NX42,IF(AND($N$8=2,$N$20=8),NY42,IF(AND($N$8=1,$N$20=1),NZ42,IF(AND($N$8=1,$N$20=1),NZ42,IF(AND($N$8=1,$N$20=4),OA42,IF(AND($N$8=1,$N$20=5),OB42,IF(AND($N$8=1,$N$20=11),OC42,IF(AND($N$8=1,$N$20=7),OD42,IF(AND($N$8=1,$N$20=3),OE42,IF(AND($N$8=1,$N$20=6),OF42,IF(AND($N$8=1,$N$20=9),OG42,IF(AND($N$8=1,$N$20=2),OH42,0))))))))))))))))))))</f>
        <v>0</v>
      </c>
      <c r="OJ42" s="77">
        <v>111250</v>
      </c>
      <c r="OK42" s="72">
        <v>111251</v>
      </c>
      <c r="OL42" s="72">
        <v>111252</v>
      </c>
      <c r="OM42" s="72">
        <v>111253</v>
      </c>
      <c r="ON42" s="72">
        <v>111254</v>
      </c>
      <c r="OO42" s="72">
        <v>111255</v>
      </c>
      <c r="OP42" s="72">
        <v>111256</v>
      </c>
      <c r="OQ42" s="72">
        <v>111257</v>
      </c>
      <c r="OR42" s="72">
        <v>111258</v>
      </c>
      <c r="OT42" s="72">
        <v>111240</v>
      </c>
      <c r="OU42" s="72">
        <v>111241</v>
      </c>
      <c r="OV42" s="72">
        <v>111242</v>
      </c>
      <c r="OW42" s="72">
        <v>111243</v>
      </c>
      <c r="OX42" s="72">
        <v>111244</v>
      </c>
      <c r="OY42" s="72">
        <v>111245</v>
      </c>
      <c r="OZ42" s="72">
        <v>111246</v>
      </c>
      <c r="PA42" s="72">
        <v>111247</v>
      </c>
      <c r="PB42" s="72">
        <v>111248</v>
      </c>
      <c r="PC42" s="78">
        <f>IF(AND($N$8=2,$N$20=1),OJ42,IF(AND($N$8=2,$N$20=4),OK42,IF(AND($N$8=2,$N$20=5),OL42,IF(AND($N$8=2,$N$20=11),OM42,IF(AND($N$8=2,$N$20=7),ON42,IF(AND($N$8=2,$N$20=3),OO42,IF(AND($N$8=2,$N$20=6),OP42,IF(AND($N$8=2,$N$20=9),OQ42,IF(AND($N$8=2,$N$20=2),OR42,IF(AND($N$8=2,$N$20=8),OS42,IF(AND($N$8=1,$N$20=1),OT42,IF(AND($N$8=1,$N$20=1),OT42,IF(AND($N$8=1,$N$20=4),OU42,IF(AND($N$8=1,$N$20=5),OV42,IF(AND($N$8=1,$N$20=11),OW42,IF(AND($N$8=1,$N$20=7),OX42,IF(AND($N$8=1,$N$20=3),OY42,IF(AND($N$8=1,$N$20=6),OZ42,IF(AND($N$8=1,$N$20=9),PA42,IF(AND($N$8=1,$N$20=2),PB42,0))))))))))))))))))))</f>
        <v>0</v>
      </c>
      <c r="PD42" s="77">
        <v>111630</v>
      </c>
      <c r="PE42" s="72">
        <v>111631</v>
      </c>
      <c r="PF42" s="72">
        <v>111632</v>
      </c>
      <c r="PG42" s="72">
        <v>111633</v>
      </c>
      <c r="PH42" s="72">
        <v>111634</v>
      </c>
      <c r="PI42" s="72">
        <v>111635</v>
      </c>
      <c r="PJ42" s="72">
        <v>111636</v>
      </c>
      <c r="PK42" s="72">
        <v>111637</v>
      </c>
      <c r="PL42" s="72">
        <v>111638</v>
      </c>
      <c r="PN42" s="72">
        <v>111620</v>
      </c>
      <c r="PO42" s="72">
        <v>111621</v>
      </c>
      <c r="PP42" s="72">
        <v>111622</v>
      </c>
      <c r="PQ42" s="72">
        <v>111623</v>
      </c>
      <c r="PR42" s="72">
        <v>111624</v>
      </c>
      <c r="PS42" s="72">
        <v>111625</v>
      </c>
      <c r="PT42" s="72">
        <v>111626</v>
      </c>
      <c r="PU42" s="72">
        <v>111627</v>
      </c>
      <c r="PV42" s="72">
        <v>111628</v>
      </c>
      <c r="PW42" s="78">
        <f>IF(AND($N$8=2,$N$20=1),PD42,IF(AND($N$8=2,$N$20=4),PE42,IF(AND($N$8=2,$N$20=5),PF42,IF(AND($N$8=2,$N$20=11),PG42,IF(AND($N$8=2,$N$20=7),PH42,IF(AND($N$8=2,$N$20=3),PI42,IF(AND($N$8=2,$N$20=6),PJ42,IF(AND($N$8=2,$N$20=9),PK42,IF(AND($N$8=2,$N$20=2),PL42,IF(AND($N$8=2,$N$20=8),PM42,IF(AND($N$8=1,$N$20=1),PN42,IF(AND($N$8=1,$N$20=1),PN42,IF(AND($N$8=1,$N$20=4),PO42,IF(AND($N$8=1,$N$20=5),PP42,IF(AND($N$8=1,$N$20=11),PQ42,IF(AND($N$8=1,$N$20=7),PR42,IF(AND($N$8=1,$N$20=3),PS42,IF(AND($N$8=1,$N$20=6),PT42,IF(AND($N$8=1,$N$20=9),PU42,IF(AND($N$8=1,$N$20=2),PV42,0))))))))))))))))))))</f>
        <v>0</v>
      </c>
    </row>
    <row r="43" spans="1:439" ht="32.1" customHeight="1">
      <c r="A43" s="164"/>
      <c r="B43" s="137" t="str">
        <f>VLOOKUP("Stk",Sprachindex!A:Z,Info!$O$6,FALSE)</f>
        <v>STK</v>
      </c>
      <c r="C43" s="135"/>
      <c r="D43" s="136">
        <f>IF(OR(J43=Formeln!A51,J43=Formeln!A52,J43=Formeln!A53,J43=Formeln!A83,J43=Formeln!A84,J43=Formeln!A85),AM43,IF(OR(J43=Formeln!A54,J43=Formeln!A55,J43=Formeln!A56,J43=Formeln!A86,J43=Formeln!A87,J43=Formeln!A88),BG43,IF(OR(J43=Formeln!A57,J43=Formeln!A58,J43=Formeln!A59,J43=Formeln!A60,J43=Formeln!A61,J43=Formeln!A89,J43=Formeln!A90,J43=Formeln!A91,J43=Formeln!A92,J43=Formeln!A93),CA43,IF(OR(J43=Formeln!A62,J43=Formeln!A63,J43=Formeln!A64,J43=Formeln!A94,J43=Formeln!A95,J43=Formeln!A96),CU43,IF(OR(J43=Formeln!A65,J43=Formeln!A66,J43=Formeln!A97,J43=Formeln!A98),DO43,IF(OR(J43=Formeln!A67,J43=Formeln!A68,J43=Formeln!A69,J43=Formeln!A70,J43=Formeln!A71,J43=Formeln!A99,J43=Formeln!A100,J43=Formeln!A101,J43=Formeln!A102,J43=Formeln!A103),EI43,IF(OR(J43=Formeln!A72,J43=Formeln!A73,J43=Formeln!A74,J43=Formeln!A104,J43=Formeln!A105,J43=Formeln!A106),FC43,0)))))))</f>
        <v>0</v>
      </c>
      <c r="E43" s="264" t="str">
        <f>VLOOKUP("PREFA Einfassung für Roto-Dachflächenfenster stucco",Sprachindex!A:Z,Info!$O$6,FALSE)</f>
        <v>PREFA Einfassung für Roto-Dachflächenfenster stucco</v>
      </c>
      <c r="F43" s="265"/>
      <c r="G43" s="265"/>
      <c r="H43" s="265"/>
      <c r="I43" s="145" t="str">
        <f>VLOOKUP("Maße:",Sprachindex!A:Z,Info!$O$6,FALSE)</f>
        <v>Maße:</v>
      </c>
      <c r="J43" s="269"/>
      <c r="K43" s="270"/>
      <c r="L43" s="137" t="str">
        <f t="shared" si="0"/>
        <v/>
      </c>
      <c r="M43" s="138"/>
      <c r="P43" s="11"/>
      <c r="Q43" s="11" t="str">
        <f>ROUNDUP(A43/1,0)*1 &amp;" " &amp; VLOOKUP("Stk",Sprachindex!A:Z,Info!$O$6,FALSE)</f>
        <v>0 STK</v>
      </c>
      <c r="T43" s="72">
        <v>111300</v>
      </c>
      <c r="U43" s="72">
        <v>111301</v>
      </c>
      <c r="V43" s="72">
        <v>111302</v>
      </c>
      <c r="W43" s="72">
        <v>111303</v>
      </c>
      <c r="X43" s="72">
        <v>111304</v>
      </c>
      <c r="Y43" s="72">
        <v>111305</v>
      </c>
      <c r="Z43" s="72">
        <v>111306</v>
      </c>
      <c r="AA43" s="72">
        <v>111307</v>
      </c>
      <c r="AB43" s="72">
        <v>111308</v>
      </c>
      <c r="AD43" s="72">
        <v>111310</v>
      </c>
      <c r="AE43" s="72">
        <v>111311</v>
      </c>
      <c r="AF43" s="72">
        <v>111312</v>
      </c>
      <c r="AG43" s="72">
        <v>111313</v>
      </c>
      <c r="AH43" s="72">
        <v>111314</v>
      </c>
      <c r="AI43" s="72">
        <v>111315</v>
      </c>
      <c r="AJ43" s="72">
        <v>111316</v>
      </c>
      <c r="AK43" s="72">
        <v>111317</v>
      </c>
      <c r="AL43" s="72">
        <v>111318</v>
      </c>
      <c r="AM43" s="78">
        <f>IF(AND($N$8=2,$N$20=1),T43,IF(AND($N$8=2,$N$20=4),U43,IF(AND($N$8=2,$N$20=5),V43,IF(AND($N$8=2,$N$20=11),W43,IF(AND($N$8=2,$N$20=7),X43,IF(AND($N$8=2,$N$20=3),Y43,IF(AND($N$8=2,$N$20=6),Z43,IF(AND($N$8=2,$N$20=9),AA43,IF(AND($N$8=2,$N$20=2),AB43,IF(AND($N$8=2,$N$20=8),AC43,IF(AND($N$8=1,$N$20=1),AD43,IF(AND($N$8=1,$N$20=1),AD43,IF(AND($N$8=1,$N$20=4),AE43,IF(AND($N$8=1,$N$20=5),AF43,IF(AND($N$8=1,$N$20=11),AG43,IF(AND($N$8=1,$N$20=7),AH43,IF(AND($N$8=1,$N$20=3),AI43,IF(AND($N$8=1,$N$20=6),AJ43,IF(AND($N$8=1,$N$20=9),AK43,IF(AND($N$8=1,$N$20=2),AL43,0))))))))))))))))))))</f>
        <v>0</v>
      </c>
      <c r="AN43" s="72">
        <v>111320</v>
      </c>
      <c r="AO43" s="72">
        <v>111321</v>
      </c>
      <c r="AP43" s="72">
        <v>111322</v>
      </c>
      <c r="AQ43" s="72">
        <v>111323</v>
      </c>
      <c r="AR43" s="72">
        <v>111324</v>
      </c>
      <c r="AS43" s="72">
        <v>111325</v>
      </c>
      <c r="AT43" s="72">
        <v>111326</v>
      </c>
      <c r="AU43" s="72">
        <v>111327</v>
      </c>
      <c r="AV43" s="72">
        <v>111328</v>
      </c>
      <c r="AX43" s="72">
        <v>111330</v>
      </c>
      <c r="AY43" s="72">
        <v>111331</v>
      </c>
      <c r="AZ43" s="72">
        <v>111332</v>
      </c>
      <c r="BA43" s="72">
        <v>111333</v>
      </c>
      <c r="BB43" s="72">
        <v>111334</v>
      </c>
      <c r="BC43" s="72">
        <v>111335</v>
      </c>
      <c r="BD43" s="72">
        <v>111336</v>
      </c>
      <c r="BE43" s="72">
        <v>111337</v>
      </c>
      <c r="BF43" s="72">
        <v>111338</v>
      </c>
      <c r="BG43" s="78">
        <f>IF(AND($N$8=2,$N$20=1),AN43,IF(AND($N$8=2,$N$20=4),AO43,IF(AND($N$8=2,$N$20=5),AP43,IF(AND($N$8=2,$N$20=11),AQ43,IF(AND($N$8=2,$N$20=7),AR43,IF(AND($N$8=2,$N$20=3),AS43,IF(AND($N$8=2,$N$20=6),AT43,IF(AND($N$8=2,$N$20=9),AU43,IF(AND($N$8=2,$N$20=2),AV43,IF(AND($N$8=2,$N$20=8),AW43,IF(AND($N$8=1,$N$20=1),AX43,IF(AND($N$8=1,$N$20=1),AX43,IF(AND($N$8=1,$N$20=4),AY43,IF(AND($N$8=1,$N$20=5),AZ43,IF(AND($N$8=1,$N$20=11),BA43,IF(AND($N$8=1,$N$20=7),BB43,IF(AND($N$8=1,$N$20=3),BC43,IF(AND($N$8=1,$N$20=6),BD43,IF(AND($N$8=1,$N$20=9),BE43,IF(AND($N$8=1,$N$20=2),BF43,0))))))))))))))))))))</f>
        <v>0</v>
      </c>
      <c r="BH43" s="72">
        <v>111360</v>
      </c>
      <c r="BI43" s="72">
        <v>111361</v>
      </c>
      <c r="BJ43" s="72">
        <v>111362</v>
      </c>
      <c r="BK43" s="72">
        <v>111363</v>
      </c>
      <c r="BL43" s="72">
        <v>111364</v>
      </c>
      <c r="BM43" s="72">
        <v>111365</v>
      </c>
      <c r="BN43" s="72">
        <v>111366</v>
      </c>
      <c r="BO43" s="72">
        <v>111367</v>
      </c>
      <c r="BP43" s="72">
        <v>111368</v>
      </c>
      <c r="BR43" s="72">
        <v>111370</v>
      </c>
      <c r="BS43" s="72">
        <v>111371</v>
      </c>
      <c r="BT43" s="72">
        <v>111372</v>
      </c>
      <c r="BU43" s="72">
        <v>111373</v>
      </c>
      <c r="BV43" s="72">
        <v>111374</v>
      </c>
      <c r="BW43" s="72">
        <v>111375</v>
      </c>
      <c r="BX43" s="72">
        <v>111376</v>
      </c>
      <c r="BY43" s="72">
        <v>111377</v>
      </c>
      <c r="BZ43" s="72">
        <v>111378</v>
      </c>
      <c r="CA43" s="78">
        <f>IF(AND($N$8=2,$N$20=1),BH43,IF(AND($N$8=2,$N$20=4),BI43,IF(AND($N$8=2,$N$20=5),BJ43,IF(AND($N$8=2,$N$20=11),BK43,IF(AND($N$8=2,$N$20=7),BL43,IF(AND($N$8=2,$N$20=3),BM43,IF(AND($N$8=2,$N$20=6),BN43,IF(AND($N$8=2,$N$20=9),BO43,IF(AND($N$8=2,$N$20=2),BP43,IF(AND($N$8=2,$N$20=8),BQ43,IF(AND($N$8=1,$N$20=1),BR43,IF(AND($N$8=1,$N$20=1),BR43,IF(AND($N$8=1,$N$20=4),BS43,IF(AND($N$8=1,$N$20=5),BT43,IF(AND($N$8=1,$N$20=11),BU43,IF(AND($N$8=1,$N$20=7),BV43,IF(AND($N$8=1,$N$20=3),BW43,IF(AND($N$8=1,$N$20=6),BX43,IF(AND($N$8=1,$N$20=9),BY43,IF(AND($N$8=1,$N$20=2),BZ43,0))))))))))))))))))))</f>
        <v>0</v>
      </c>
      <c r="CB43" s="72">
        <v>111380</v>
      </c>
      <c r="CC43" s="72">
        <v>111381</v>
      </c>
      <c r="CD43" s="72">
        <v>111382</v>
      </c>
      <c r="CE43" s="72">
        <v>111383</v>
      </c>
      <c r="CF43" s="72">
        <v>111384</v>
      </c>
      <c r="CG43" s="72">
        <v>111385</v>
      </c>
      <c r="CH43" s="72">
        <v>111386</v>
      </c>
      <c r="CI43" s="72">
        <v>111387</v>
      </c>
      <c r="CJ43" s="72">
        <v>111388</v>
      </c>
      <c r="CL43" s="72">
        <v>111390</v>
      </c>
      <c r="CM43" s="72">
        <v>111391</v>
      </c>
      <c r="CN43" s="72">
        <v>111392</v>
      </c>
      <c r="CO43" s="72">
        <v>111393</v>
      </c>
      <c r="CP43" s="72">
        <v>111394</v>
      </c>
      <c r="CQ43" s="72">
        <v>111395</v>
      </c>
      <c r="CR43" s="72">
        <v>111396</v>
      </c>
      <c r="CS43" s="72">
        <v>111397</v>
      </c>
      <c r="CT43" s="72">
        <v>111398</v>
      </c>
      <c r="CU43" s="78">
        <f>IF(AND($N$8=2,$N$20=1),CB43,IF(AND($N$8=2,$N$20=4),CC43,IF(AND($N$8=2,$N$20=5),CD43,IF(AND($N$8=2,$N$20=11),CE43,IF(AND($N$8=2,$N$20=7),CF43,IF(AND($N$8=2,$N$20=3),CG43,IF(AND($N$8=2,$N$20=6),CH43,IF(AND($N$8=2,$N$20=9),CI43,IF(AND($N$8=2,$N$20=2),CJ43,IF(AND($N$8=2,$N$20=8),CK43,IF(AND($N$8=1,$N$20=1),CL43,IF(AND($N$8=1,$N$20=1),CL43,IF(AND($N$8=1,$N$20=4),CM43,IF(AND($N$8=1,$N$20=5),CN43,IF(AND($N$8=1,$N$20=11),CO43,IF(AND($N$8=1,$N$20=7),CP43,IF(AND($N$8=1,$N$20=3),CQ43,IF(AND($N$8=1,$N$20=6),CR43,IF(AND($N$8=1,$N$20=9),CS43,IF(AND($N$8=1,$N$20=2),CT43,0))))))))))))))))))))</f>
        <v>0</v>
      </c>
      <c r="CV43" s="72">
        <v>111400</v>
      </c>
      <c r="CW43" s="72">
        <v>111401</v>
      </c>
      <c r="CX43" s="72">
        <v>111402</v>
      </c>
      <c r="CY43" s="72">
        <v>111403</v>
      </c>
      <c r="CZ43" s="72">
        <v>111404</v>
      </c>
      <c r="DA43" s="72">
        <v>111405</v>
      </c>
      <c r="DB43" s="72">
        <v>111406</v>
      </c>
      <c r="DC43" s="72">
        <v>111407</v>
      </c>
      <c r="DD43" s="72">
        <v>111408</v>
      </c>
      <c r="DF43" s="72">
        <v>111410</v>
      </c>
      <c r="DG43" s="72">
        <v>111411</v>
      </c>
      <c r="DH43" s="72">
        <v>111412</v>
      </c>
      <c r="DI43" s="72">
        <v>111413</v>
      </c>
      <c r="DJ43" s="72">
        <v>111414</v>
      </c>
      <c r="DK43" s="72">
        <v>111415</v>
      </c>
      <c r="DL43" s="72">
        <v>111416</v>
      </c>
      <c r="DM43" s="72">
        <v>111417</v>
      </c>
      <c r="DN43" s="72">
        <v>111418</v>
      </c>
      <c r="DO43" s="78">
        <f>IF(AND($N$8=2,$N$20=1),CV43,IF(AND($N$8=2,$N$20=4),CW43,IF(AND($N$8=2,$N$20=5),CX43,IF(AND($N$8=2,$N$20=11),CY43,IF(AND($N$8=2,$N$20=7),CZ43,IF(AND($N$8=2,$N$20=3),DA43,IF(AND($N$8=2,$N$20=6),DB43,IF(AND($N$8=2,$N$20=9),DC43,IF(AND($N$8=2,$N$20=2),DD43,IF(AND($N$8=2,$N$20=8),DE43,IF(AND($N$8=1,$N$20=1),DF43,IF(AND($N$8=1,$N$20=1),DF43,IF(AND($N$8=1,$N$20=4),DG43,IF(AND($N$8=1,$N$20=5),DH43,IF(AND($N$8=1,$N$20=11),DI43,IF(AND($N$8=1,$N$20=7),DJ43,IF(AND($N$8=1,$N$20=3),DK43,IF(AND($N$8=1,$N$20=6),DL43,IF(AND($N$8=1,$N$20=9),DM43,IF(AND($N$8=1,$N$20=2),DN43,0))))))))))))))))))))</f>
        <v>0</v>
      </c>
      <c r="DP43" s="72">
        <v>111420</v>
      </c>
      <c r="DQ43" s="72">
        <v>111421</v>
      </c>
      <c r="DR43" s="72">
        <v>111422</v>
      </c>
      <c r="DS43" s="72">
        <v>111423</v>
      </c>
      <c r="DT43" s="72">
        <v>111424</v>
      </c>
      <c r="DU43" s="72">
        <v>111425</v>
      </c>
      <c r="DV43" s="72">
        <v>111426</v>
      </c>
      <c r="DW43" s="72">
        <v>111427</v>
      </c>
      <c r="DX43" s="72">
        <v>111428</v>
      </c>
      <c r="DZ43" s="72">
        <v>111430</v>
      </c>
      <c r="EA43" s="72">
        <v>111431</v>
      </c>
      <c r="EB43" s="72">
        <v>111432</v>
      </c>
      <c r="EC43" s="72">
        <v>111433</v>
      </c>
      <c r="ED43" s="72">
        <v>111434</v>
      </c>
      <c r="EE43" s="72">
        <v>111435</v>
      </c>
      <c r="EF43" s="72">
        <v>111436</v>
      </c>
      <c r="EG43" s="72">
        <v>111437</v>
      </c>
      <c r="EH43" s="72">
        <v>111438</v>
      </c>
      <c r="EI43" s="78">
        <f>IF(AND($N$8=2,$N$20=1),DP43,IF(AND($N$8=2,$N$20=4),DQ43,IF(AND($N$8=2,$N$20=5),DR43,IF(AND($N$8=2,$N$20=11),DS43,IF(AND($N$8=2,$N$20=7),DT43,IF(AND($N$8=2,$N$20=3),DU43,IF(AND($N$8=2,$N$20=6),DV43,IF(AND($N$8=2,$N$20=9),DW43,IF(AND($N$8=2,$N$20=2),DX43,IF(AND($N$8=2,$N$20=8),DY43,IF(AND($N$8=1,$N$20=1),DZ43,IF(AND($N$8=1,$N$20=1),DZ43,IF(AND($N$8=1,$N$20=4),EA43,IF(AND($N$8=1,$N$20=5),EB43,IF(AND($N$8=1,$N$20=11),EC43,IF(AND($N$8=1,$N$20=7),ED43,IF(AND($N$8=1,$N$20=3),EE43,IF(AND($N$8=1,$N$20=6),EF43,IF(AND($N$8=1,$N$20=9),EG43,IF(AND($N$8=1,$N$20=2),EH43,0))))))))))))))))))))</f>
        <v>0</v>
      </c>
      <c r="EJ43" s="72">
        <v>111440</v>
      </c>
      <c r="EK43" s="72">
        <v>111441</v>
      </c>
      <c r="EL43" s="72">
        <v>111442</v>
      </c>
      <c r="EM43" s="72">
        <v>111443</v>
      </c>
      <c r="EN43" s="72">
        <v>111444</v>
      </c>
      <c r="EO43" s="72">
        <v>111445</v>
      </c>
      <c r="EP43" s="72">
        <v>111446</v>
      </c>
      <c r="EQ43" s="72">
        <v>111447</v>
      </c>
      <c r="ER43" s="72">
        <v>111448</v>
      </c>
      <c r="ET43" s="72">
        <v>111450</v>
      </c>
      <c r="EU43" s="72">
        <v>111451</v>
      </c>
      <c r="EV43" s="72">
        <v>111452</v>
      </c>
      <c r="EW43" s="72">
        <v>111453</v>
      </c>
      <c r="EX43" s="72">
        <v>111454</v>
      </c>
      <c r="EY43" s="72">
        <v>111455</v>
      </c>
      <c r="EZ43" s="72">
        <v>111456</v>
      </c>
      <c r="FA43" s="72">
        <v>111457</v>
      </c>
      <c r="FB43" s="72">
        <v>111458</v>
      </c>
      <c r="FC43" s="78">
        <f>IF(AND($N$8=2,$N$20=1),EJ43,IF(AND($N$8=2,$N$20=4),EK43,IF(AND($N$8=2,$N$20=5),EL43,IF(AND($N$8=2,$N$20=11),EM43,IF(AND($N$8=2,$N$20=7),EN43,IF(AND($N$8=2,$N$20=3),EO43,IF(AND($N$8=2,$N$20=6),EP43,IF(AND($N$8=2,$N$20=9),EQ43,IF(AND($N$8=2,$N$20=2),ER43,IF(AND($N$8=2,$N$20=8),ES43,IF(AND($N$8=1,$N$20=1),ET43,IF(AND($N$8=1,$N$20=1),ET43,IF(AND($N$8=1,$N$20=4),EU43,IF(AND($N$8=1,$N$20=5),EV43,IF(AND($N$8=1,$N$20=11),EW43,IF(AND($N$8=1,$N$20=7),EX43,IF(AND($N$8=1,$N$20=3),EY43,IF(AND($N$8=1,$N$20=6),EZ43,IF(AND($N$8=1,$N$20=9),FA43,IF(AND($N$8=1,$N$20=2),FB43,0))))))))))))))))))))</f>
        <v>0</v>
      </c>
      <c r="FW43" s="78"/>
      <c r="GQ43" s="78"/>
      <c r="HK43" s="78"/>
      <c r="IE43" s="78"/>
      <c r="IY43" s="78"/>
      <c r="JS43" s="78"/>
      <c r="KM43" s="78"/>
      <c r="LG43" s="78"/>
      <c r="MA43" s="78"/>
      <c r="MU43" s="78"/>
      <c r="NO43" s="78"/>
      <c r="OI43" s="78"/>
      <c r="PC43" s="78"/>
      <c r="PW43" s="78"/>
    </row>
    <row r="44" spans="1:439" ht="32.1" customHeight="1">
      <c r="A44" s="164"/>
      <c r="B44" s="137" t="str">
        <f>VLOOKUP("Stk",Sprachindex!A:Z,Info!$O$6,FALSE)</f>
        <v>STK</v>
      </c>
      <c r="C44" s="135"/>
      <c r="D44" s="136">
        <f t="shared" ref="D44:D49" si="2">IF($N$20=1,T44,IF($N$20=4,U44,IF($N$20=5,V44,IF($N$20=11,W44,IF($N$20=7,X44,IF($N$20=3,Y44,IF($N$20=6,Z44,IF($N$20=9,AA44,IF($N$20=2,AB44,IF($N$20=8,AC44,0))))))))))</f>
        <v>0</v>
      </c>
      <c r="E44" s="264" t="str">
        <f>VLOOKUP("PREFA Einzeltritt inkl. zwei Fußteilen",Sprachindex!A:Z,Info!$O$6,FALSE)</f>
        <v>PREFA Einzeltritt inkl. zwei Fußteilen</v>
      </c>
      <c r="F44" s="265"/>
      <c r="G44" s="265"/>
      <c r="H44" s="265"/>
      <c r="I44" s="265"/>
      <c r="J44" s="265"/>
      <c r="K44" s="266"/>
      <c r="L44" s="137" t="str">
        <f t="shared" si="0"/>
        <v/>
      </c>
      <c r="M44" s="138"/>
      <c r="P44" s="11"/>
      <c r="Q44" s="11" t="str">
        <f>ROUNDUP(A44/1,0)*1 &amp;" " &amp; VLOOKUP("Stk",Sprachindex!A:Z,Info!$O$6,FALSE)</f>
        <v>0 STK</v>
      </c>
      <c r="T44" s="72">
        <v>120070</v>
      </c>
      <c r="U44" s="72">
        <v>120071</v>
      </c>
      <c r="V44" s="72">
        <v>120072</v>
      </c>
      <c r="W44" s="72">
        <v>120073</v>
      </c>
      <c r="X44" s="72">
        <v>120074</v>
      </c>
      <c r="Y44" s="72">
        <v>120075</v>
      </c>
      <c r="Z44" s="72">
        <v>120076</v>
      </c>
      <c r="AA44" s="72">
        <v>120077</v>
      </c>
      <c r="AB44" s="72">
        <v>120078</v>
      </c>
      <c r="AC44" s="72">
        <v>649020</v>
      </c>
    </row>
    <row r="45" spans="1:439" ht="32.1" customHeight="1">
      <c r="A45" s="164"/>
      <c r="B45" s="137" t="str">
        <f>VLOOKUP("Stk",Sprachindex!A:Z,Info!$O$6,FALSE)</f>
        <v>STK</v>
      </c>
      <c r="C45" s="135"/>
      <c r="D45" s="136">
        <f t="shared" si="2"/>
        <v>0</v>
      </c>
      <c r="E45" s="264" t="str">
        <f>VLOOKUP("PREFA Laufstegstütze verzinkt für Laufstege",Sprachindex!A:Z,Info!$O$6,FALSE)</f>
        <v>PREFA Laufstegstütze verzinkt für Laufstege</v>
      </c>
      <c r="F45" s="265"/>
      <c r="G45" s="265"/>
      <c r="H45" s="265"/>
      <c r="I45" s="265"/>
      <c r="J45" s="265"/>
      <c r="K45" s="266"/>
      <c r="L45" s="137" t="str">
        <f t="shared" si="0"/>
        <v/>
      </c>
      <c r="M45" s="138"/>
      <c r="P45" s="11"/>
      <c r="Q45" s="11" t="str">
        <f>ROUNDUP(A45/1,0)*1 &amp;" " &amp; VLOOKUP("Stk",Sprachindex!A:Z,Info!$O$6,FALSE)</f>
        <v>0 STK</v>
      </c>
      <c r="T45" s="72">
        <v>120040</v>
      </c>
      <c r="U45" s="72">
        <v>120041</v>
      </c>
      <c r="V45" s="72">
        <v>120042</v>
      </c>
      <c r="W45" s="72">
        <v>120043</v>
      </c>
      <c r="X45" s="72">
        <v>120044</v>
      </c>
      <c r="Y45" s="72">
        <v>120045</v>
      </c>
      <c r="Z45" s="72">
        <v>120046</v>
      </c>
      <c r="AA45" s="72">
        <v>120047</v>
      </c>
      <c r="AB45" s="72">
        <v>120048</v>
      </c>
      <c r="AC45" s="72">
        <v>649220</v>
      </c>
    </row>
    <row r="46" spans="1:439" ht="32.1" customHeight="1">
      <c r="A46" s="164"/>
      <c r="B46" s="137" t="str">
        <f>VLOOKUP("Stk",Sprachindex!A:Z,Info!$O$6,FALSE)</f>
        <v>STK</v>
      </c>
      <c r="C46" s="135"/>
      <c r="D46" s="136">
        <f t="shared" si="2"/>
        <v>0</v>
      </c>
      <c r="E46" s="264" t="str">
        <f>VLOOKUP("PREFA Laufsteg (250 x 1.200 mm)",Sprachindex!A:Z,Info!$O$6,FALSE)</f>
        <v>PREFA Laufsteg (250 x 1.200 mm)</v>
      </c>
      <c r="F46" s="265"/>
      <c r="G46" s="265"/>
      <c r="H46" s="265"/>
      <c r="I46" s="265"/>
      <c r="J46" s="265"/>
      <c r="K46" s="266"/>
      <c r="L46" s="137" t="str">
        <f t="shared" si="0"/>
        <v/>
      </c>
      <c r="M46" s="138"/>
      <c r="P46" s="11"/>
      <c r="Q46" s="11" t="str">
        <f>ROUNDUP(A46/1,0)*1 &amp;" " &amp; VLOOKUP("Stk",Sprachindex!A:Z,Info!$O$6,FALSE)</f>
        <v>0 STK</v>
      </c>
      <c r="T46" s="72">
        <v>120030</v>
      </c>
      <c r="U46" s="72">
        <v>120031</v>
      </c>
      <c r="V46" s="72">
        <v>120032</v>
      </c>
      <c r="W46" s="72">
        <v>120033</v>
      </c>
      <c r="X46" s="72">
        <v>120034</v>
      </c>
      <c r="Y46" s="72">
        <v>120035</v>
      </c>
      <c r="Z46" s="72">
        <v>120036</v>
      </c>
      <c r="AA46" s="72">
        <v>120037</v>
      </c>
      <c r="AB46" s="72">
        <v>120038</v>
      </c>
      <c r="AC46" s="72">
        <v>649221</v>
      </c>
    </row>
    <row r="47" spans="1:439" ht="32.1" customHeight="1">
      <c r="A47" s="164"/>
      <c r="B47" s="137" t="str">
        <f>VLOOKUP("Stk",Sprachindex!A:Z,Info!$O$6,FALSE)</f>
        <v>STK</v>
      </c>
      <c r="C47" s="135"/>
      <c r="D47" s="136">
        <f t="shared" si="2"/>
        <v>0</v>
      </c>
      <c r="E47" s="264" t="str">
        <f>VLOOKUP("PREFA Laufsteg (250 x 800 mm)",Sprachindex!A:Z,Info!$O$6,FALSE)</f>
        <v>PREFA Laufsteg (250 x 800 mm)</v>
      </c>
      <c r="F47" s="265"/>
      <c r="G47" s="265"/>
      <c r="H47" s="265"/>
      <c r="I47" s="265"/>
      <c r="J47" s="265"/>
      <c r="K47" s="266"/>
      <c r="L47" s="137" t="str">
        <f t="shared" si="0"/>
        <v/>
      </c>
      <c r="M47" s="138"/>
      <c r="P47" s="11"/>
      <c r="Q47" s="11" t="str">
        <f>ROUNDUP(A47/1,0)*1 &amp;" " &amp; VLOOKUP("Stk",Sprachindex!A:Z,Info!$O$6,FALSE)</f>
        <v>0 STK</v>
      </c>
      <c r="T47" s="72">
        <v>120020</v>
      </c>
      <c r="U47" s="72">
        <v>120021</v>
      </c>
      <c r="V47" s="72">
        <v>120022</v>
      </c>
      <c r="W47" s="72">
        <v>120023</v>
      </c>
      <c r="X47" s="72">
        <v>120024</v>
      </c>
      <c r="Y47" s="72">
        <v>120025</v>
      </c>
      <c r="Z47" s="72">
        <v>120026</v>
      </c>
      <c r="AA47" s="72">
        <v>120027</v>
      </c>
      <c r="AB47" s="72">
        <v>120028</v>
      </c>
      <c r="AC47" s="72">
        <v>649050</v>
      </c>
    </row>
    <row r="48" spans="1:439" ht="32.1" customHeight="1">
      <c r="A48" s="164"/>
      <c r="B48" s="137" t="str">
        <f>VLOOKUP("Stk",Sprachindex!A:Z,Info!$O$6,FALSE)</f>
        <v>STK</v>
      </c>
      <c r="C48" s="135"/>
      <c r="D48" s="136">
        <f t="shared" si="2"/>
        <v>0</v>
      </c>
      <c r="E48" s="264" t="str">
        <f>VLOOKUP("PREFA Laufsteg (250 x 600 mm)",Sprachindex!A:Z,Info!$O$6,FALSE)</f>
        <v>PREFA Laufsteg (250 x 600 mm)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38"/>
      <c r="P48" s="11"/>
      <c r="Q48" s="11" t="str">
        <f>ROUNDUP(A48/1,0)*1 &amp;" " &amp; VLOOKUP("Stk",Sprachindex!A:Z,Info!$O$6,FALSE)</f>
        <v>0 STK</v>
      </c>
      <c r="T48" s="72">
        <v>120060</v>
      </c>
      <c r="U48" s="72">
        <v>120061</v>
      </c>
      <c r="V48" s="72">
        <v>120062</v>
      </c>
      <c r="W48" s="72">
        <v>120063</v>
      </c>
      <c r="X48" s="72">
        <v>120064</v>
      </c>
      <c r="Y48" s="72">
        <v>120065</v>
      </c>
      <c r="Z48" s="72">
        <v>120066</v>
      </c>
      <c r="AA48" s="72">
        <v>120067</v>
      </c>
      <c r="AB48" s="72">
        <v>120068</v>
      </c>
      <c r="AC48" s="72">
        <v>649070</v>
      </c>
    </row>
    <row r="49" spans="1:39" ht="32.1" customHeight="1">
      <c r="A49" s="164"/>
      <c r="B49" s="137" t="str">
        <f>VLOOKUP("Stk",Sprachindex!A:Z,Info!$O$6,FALSE)</f>
        <v>STK</v>
      </c>
      <c r="C49" s="135"/>
      <c r="D49" s="136">
        <f t="shared" si="2"/>
        <v>0</v>
      </c>
      <c r="E49" s="264" t="str">
        <f>VLOOKUP("PREFA Laufsteg (250 x 420 mm)",Sprachindex!A:Z,Info!$O$6,FALSE)</f>
        <v>PREFA Laufsteg (250 x 420 mm)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38"/>
      <c r="P49" s="11"/>
      <c r="Q49" s="11" t="str">
        <f>ROUNDUP(A49/1,0)*1 &amp;" " &amp; VLOOKUP("Stk",Sprachindex!A:Z,Info!$O$6,FALSE)</f>
        <v>0 STK</v>
      </c>
      <c r="T49" s="72">
        <v>120010</v>
      </c>
      <c r="U49" s="72">
        <v>120011</v>
      </c>
      <c r="V49" s="72">
        <v>120012</v>
      </c>
      <c r="W49" s="72">
        <v>120013</v>
      </c>
      <c r="X49" s="72">
        <v>120014</v>
      </c>
      <c r="Y49" s="72">
        <v>120015</v>
      </c>
      <c r="Z49" s="72">
        <v>120016</v>
      </c>
      <c r="AA49" s="72">
        <v>120017</v>
      </c>
      <c r="AB49" s="72">
        <v>120018</v>
      </c>
      <c r="AC49" s="72">
        <v>649030</v>
      </c>
    </row>
    <row r="50" spans="1:39" ht="32.1" customHeight="1">
      <c r="A50" s="164"/>
      <c r="B50" s="137" t="str">
        <f>VLOOKUP("Stk",Sprachindex!A:Z,Info!$O$6,FALSE)</f>
        <v>STK</v>
      </c>
      <c r="C50" s="135"/>
      <c r="D50" s="142">
        <v>649001</v>
      </c>
      <c r="E50" s="264" t="str">
        <f>VLOOKUP("PREFA Verbinder verzinkt für Laufsteg",Sprachindex!A:Z,Info!$O$6,FALSE)</f>
        <v>PREFA Verbinder verzinkt für Laufsteg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38"/>
      <c r="P50" s="11"/>
      <c r="Q50" s="11" t="str">
        <f>ROUNDUP(A50/1,0)*1 &amp;" " &amp; VLOOKUP("Stk",Sprachindex!A:Z,Info!$O$6,FALSE)</f>
        <v>0 STK</v>
      </c>
      <c r="T50" s="75" t="s">
        <v>1554</v>
      </c>
      <c r="U50" s="75" t="s">
        <v>1555</v>
      </c>
      <c r="V50" s="75" t="s">
        <v>1556</v>
      </c>
      <c r="W50" s="75" t="s">
        <v>1557</v>
      </c>
      <c r="X50" s="75" t="s">
        <v>1558</v>
      </c>
      <c r="Y50" s="75" t="s">
        <v>1559</v>
      </c>
      <c r="Z50" s="75" t="s">
        <v>1560</v>
      </c>
      <c r="AA50" s="75" t="s">
        <v>1561</v>
      </c>
      <c r="AB50" s="75" t="s">
        <v>1562</v>
      </c>
      <c r="AC50" s="75" t="s">
        <v>1563</v>
      </c>
      <c r="AD50" s="75" t="s">
        <v>1554</v>
      </c>
      <c r="AE50" s="75" t="s">
        <v>1555</v>
      </c>
      <c r="AF50" s="75" t="s">
        <v>1556</v>
      </c>
      <c r="AG50" s="75" t="s">
        <v>1557</v>
      </c>
      <c r="AH50" s="75" t="s">
        <v>1558</v>
      </c>
      <c r="AI50" s="75" t="s">
        <v>1559</v>
      </c>
      <c r="AJ50" s="75" t="s">
        <v>1560</v>
      </c>
      <c r="AK50" s="75" t="s">
        <v>1561</v>
      </c>
      <c r="AL50" s="75" t="s">
        <v>1562</v>
      </c>
      <c r="AM50" s="75" t="s">
        <v>1563</v>
      </c>
    </row>
    <row r="51" spans="1:39" ht="32.1" customHeight="1">
      <c r="A51" s="164"/>
      <c r="B51" s="137" t="str">
        <f>VLOOKUP("Stk",Sprachindex!A:Z,Info!$O$6,FALSE)</f>
        <v>STK</v>
      </c>
      <c r="C51" s="146"/>
      <c r="D51" s="142">
        <v>635661</v>
      </c>
      <c r="E51" s="264" t="str">
        <f>VLOOKUP("PREFA Dach-Sicherheitshaken nach EN 517B auf Fussteilen",Sprachindex!A:Z,Info!$O$6,FALSE)</f>
        <v>PREFA Dach-Sicherheitshaken nach EN 517B auf Fussteilen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47"/>
      <c r="P51" s="11"/>
      <c r="Q51" s="11" t="str">
        <f>ROUNDUP(A51/1,0)*1 &amp;" " &amp; VLOOKUP("Stk",Sprachindex!A:Z,Info!$O$6,FALSE)</f>
        <v>0 STK</v>
      </c>
    </row>
    <row r="52" spans="1:39" ht="32.1" customHeight="1">
      <c r="A52" s="164"/>
      <c r="B52" s="137" t="str">
        <f>VLOOKUP("Stk",Sprachindex!A:Z,Info!$O$6,FALSE)</f>
        <v>STK</v>
      </c>
      <c r="C52" s="146"/>
      <c r="D52" s="136">
        <f t="shared" ref="D52:D57" si="3">IF($N$20=1,T52,IF($N$20=4,U52,IF($N$20=5,V52,IF($N$20=11,W52,IF($N$20=7,X52,IF($N$20=3,Y52,IF($N$20=6,Z52,IF($N$20=9,AA52,IF($N$20=2,AB52,IF($N$20=8,AC52,0))))))))))</f>
        <v>0</v>
      </c>
      <c r="E52" s="264" t="str">
        <f>VLOOKUP("PREFA Dach-Sicherheitshaken nach EN 517B",Sprachindex!A:Z,Info!$O$6,FALSE)</f>
        <v>PREFA Dach-Sicherheitshaken nach EN 517B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47"/>
      <c r="P52" s="11"/>
      <c r="Q52" s="11" t="str">
        <f>ROUNDUP(A52/1,0)*1 &amp;" " &amp; VLOOKUP("Stk",Sprachindex!A:Z,Info!$O$6,FALSE)</f>
        <v>0 STK</v>
      </c>
      <c r="T52" s="72">
        <v>120000</v>
      </c>
      <c r="U52" s="72">
        <v>120001</v>
      </c>
      <c r="V52" s="72">
        <v>120002</v>
      </c>
      <c r="W52" s="72">
        <v>120003</v>
      </c>
      <c r="X52" s="72">
        <v>120004</v>
      </c>
      <c r="Y52" s="72">
        <v>120005</v>
      </c>
      <c r="Z52" s="72">
        <v>120006</v>
      </c>
      <c r="AA52" s="72">
        <v>120007</v>
      </c>
      <c r="AB52" s="72">
        <v>120008</v>
      </c>
      <c r="AC52" s="72">
        <v>635550</v>
      </c>
    </row>
    <row r="53" spans="1:39" ht="32.1" customHeight="1">
      <c r="A53" s="164"/>
      <c r="B53" s="137" t="str">
        <f>VLOOKUP("Stk",Sprachindex!A:Z,Info!$O$6,FALSE)</f>
        <v>STK</v>
      </c>
      <c r="C53" s="146"/>
      <c r="D53" s="136">
        <f t="shared" si="3"/>
        <v>0</v>
      </c>
      <c r="E53" s="264" t="str">
        <f>VLOOKUP("PREFA Einfassungsplatte für Dachplatte R.16 und FX.12, glatt, ⌀ 80–125 mm",Sprachindex!A:Z,Info!$O$6,FALSE)</f>
        <v>PREFA Einfassungsplatte für Dachplatte R.16 und FX.12, glatt, ⌀ 80–125 mm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47"/>
      <c r="P53" s="11"/>
      <c r="Q53" s="11" t="str">
        <f>ROUNDUP(A53/1,0)*1 &amp;" " &amp; VLOOKUP("Stk",Sprachindex!A:Z,Info!$O$6,FALSE)</f>
        <v>0 STK</v>
      </c>
      <c r="T53" s="72">
        <v>112061</v>
      </c>
      <c r="U53" s="72">
        <v>112062</v>
      </c>
      <c r="V53" s="72">
        <v>112063</v>
      </c>
      <c r="W53" s="72">
        <v>112064</v>
      </c>
      <c r="X53" s="72">
        <v>112065</v>
      </c>
      <c r="Y53" s="72">
        <v>112066</v>
      </c>
      <c r="Z53" s="72">
        <v>112067</v>
      </c>
      <c r="AA53" s="72">
        <v>112068</v>
      </c>
      <c r="AB53" s="72">
        <v>112069</v>
      </c>
      <c r="AC53" s="72">
        <v>112060</v>
      </c>
    </row>
    <row r="54" spans="1:39" ht="32.1" customHeight="1">
      <c r="A54" s="164"/>
      <c r="B54" s="137" t="str">
        <f>VLOOKUP("Stk",Sprachindex!A:Z,Info!$O$6,FALSE)</f>
        <v>STK</v>
      </c>
      <c r="C54" s="146"/>
      <c r="D54" s="136">
        <f t="shared" si="3"/>
        <v>0</v>
      </c>
      <c r="E54" s="264" t="str">
        <f>VLOOKUP("PREFA Universaleinfassung 2-teilig, glatt, Ø 40 - 120 mm",Sprachindex!A:Z,Info!$O$6,FALSE)</f>
        <v>PREFA Universaleinfassung 2-teilig, glatt, Ø 40 - 120 mm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47"/>
      <c r="P54" s="11"/>
      <c r="Q54" s="11" t="str">
        <f>ROUNDUP(A54/1,0)*1 &amp;" " &amp; VLOOKUP("Stk",Sprachindex!A:Z,Info!$O$6,FALSE)</f>
        <v>0 STK</v>
      </c>
      <c r="T54" s="72">
        <v>110240</v>
      </c>
      <c r="U54" s="72">
        <v>110241</v>
      </c>
      <c r="V54" s="72">
        <v>110242</v>
      </c>
      <c r="W54" s="72">
        <v>110243</v>
      </c>
      <c r="X54" s="72">
        <v>110244</v>
      </c>
      <c r="Y54" s="72">
        <v>110245</v>
      </c>
      <c r="Z54" s="72">
        <v>110246</v>
      </c>
      <c r="AA54" s="72">
        <v>110247</v>
      </c>
      <c r="AB54" s="72">
        <v>110248</v>
      </c>
      <c r="AC54" s="72">
        <v>513032</v>
      </c>
    </row>
    <row r="55" spans="1:39" ht="32.1" customHeight="1">
      <c r="A55" s="164"/>
      <c r="B55" s="137" t="str">
        <f>VLOOKUP("Stk",Sprachindex!A:Z,Info!$O$6,FALSE)</f>
        <v>STK</v>
      </c>
      <c r="C55" s="146"/>
      <c r="D55" s="136">
        <f t="shared" si="3"/>
        <v>0</v>
      </c>
      <c r="E55" s="264" t="str">
        <f>VLOOKUP("PREFA Entlüftungshaube Ø 100, glatt",Sprachindex!A:Z,Info!$O$6,FALSE)</f>
        <v>PREFA Entlüftungshaube Ø 100, glatt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47"/>
      <c r="P55" s="11"/>
      <c r="Q55" s="11" t="str">
        <f>ROUNDUP(A55/1,0)*1 &amp;" " &amp; VLOOKUP("Stk",Sprachindex!A:Z,Info!$O$6,FALSE)</f>
        <v>0 STK</v>
      </c>
      <c r="T55" s="72">
        <v>110280</v>
      </c>
      <c r="U55" s="72">
        <v>110281</v>
      </c>
      <c r="V55" s="72">
        <v>110282</v>
      </c>
      <c r="W55" s="72">
        <v>110283</v>
      </c>
      <c r="X55" s="72">
        <v>110284</v>
      </c>
      <c r="Y55" s="72">
        <v>110285</v>
      </c>
      <c r="Z55" s="72">
        <v>110286</v>
      </c>
      <c r="AA55" s="72">
        <v>110287</v>
      </c>
      <c r="AB55" s="72">
        <v>110288</v>
      </c>
      <c r="AC55" s="72">
        <v>513006</v>
      </c>
    </row>
    <row r="56" spans="1:39" ht="32.1" customHeight="1">
      <c r="A56" s="164"/>
      <c r="B56" s="137" t="str">
        <f>VLOOKUP("Stk",Sprachindex!A:Z,Info!$O$6,FALSE)</f>
        <v>STK</v>
      </c>
      <c r="C56" s="146"/>
      <c r="D56" s="136">
        <f t="shared" si="3"/>
        <v>0</v>
      </c>
      <c r="E56" s="264" t="str">
        <f>VLOOKUP("PREFA Entlüftungsrohr ⌀ 100, passend für HT-Rohr NW 110",Sprachindex!A:Z,Info!$O$6,FALSE)</f>
        <v>PREFA Entlüftungsrohr ⌀ 100, passend für HT-Rohr NW 110</v>
      </c>
      <c r="F56" s="265"/>
      <c r="G56" s="265"/>
      <c r="H56" s="265"/>
      <c r="I56" s="265"/>
      <c r="J56" s="265"/>
      <c r="K56" s="266"/>
      <c r="L56" s="137" t="str">
        <f t="shared" ref="L56:L80" si="4">IF(A56=0,"",IF($N$10=1,P56,Q56))</f>
        <v/>
      </c>
      <c r="M56" s="147"/>
      <c r="P56" s="11"/>
      <c r="Q56" s="11" t="str">
        <f>ROUNDUP(A56/1,0)*1 &amp;" " &amp; VLOOKUP("Stk",Sprachindex!A:Z,Info!$O$6,FALSE)</f>
        <v>0 STK</v>
      </c>
      <c r="T56" s="72">
        <v>110200</v>
      </c>
      <c r="U56" s="72">
        <v>110201</v>
      </c>
      <c r="V56" s="72">
        <v>110202</v>
      </c>
      <c r="W56" s="72">
        <v>110203</v>
      </c>
      <c r="X56" s="72">
        <v>110204</v>
      </c>
      <c r="Y56" s="72">
        <v>110205</v>
      </c>
      <c r="Z56" s="72">
        <v>110206</v>
      </c>
      <c r="AA56" s="72">
        <v>110207</v>
      </c>
      <c r="AB56" s="72">
        <v>110208</v>
      </c>
      <c r="AC56" s="72">
        <v>513029</v>
      </c>
    </row>
    <row r="57" spans="1:39" ht="32.1" customHeight="1">
      <c r="A57" s="164"/>
      <c r="B57" s="137" t="str">
        <f>VLOOKUP("Stk",Sprachindex!A:Z,Info!$O$6,FALSE)</f>
        <v>STK</v>
      </c>
      <c r="C57" s="146"/>
      <c r="D57" s="136">
        <f t="shared" si="3"/>
        <v>0</v>
      </c>
      <c r="E57" s="264" t="str">
        <f>VLOOKUP("PREFA Entlüftungsrohr ⌀ 120, passend für HT-Rohr NW 125",Sprachindex!A:Z,Info!$O$6,FALSE)</f>
        <v>PREFA Entlüftungsrohr ⌀ 120, passend für HT-Rohr NW 125</v>
      </c>
      <c r="F57" s="265"/>
      <c r="G57" s="265"/>
      <c r="H57" s="265"/>
      <c r="I57" s="265"/>
      <c r="J57" s="265"/>
      <c r="K57" s="266"/>
      <c r="L57" s="137" t="str">
        <f t="shared" si="4"/>
        <v/>
      </c>
      <c r="M57" s="147"/>
      <c r="P57" s="11"/>
      <c r="Q57" s="11" t="str">
        <f>ROUNDUP(A57/1,0)*1 &amp;" " &amp; VLOOKUP("Stk",Sprachindex!A:Z,Info!$O$6,FALSE)</f>
        <v>0 STK</v>
      </c>
      <c r="T57" s="72">
        <v>110210</v>
      </c>
      <c r="U57" s="72">
        <v>110211</v>
      </c>
      <c r="V57" s="72">
        <v>110212</v>
      </c>
      <c r="W57" s="72">
        <v>110213</v>
      </c>
      <c r="X57" s="72">
        <v>110214</v>
      </c>
      <c r="Y57" s="72">
        <v>110215</v>
      </c>
      <c r="Z57" s="72">
        <v>110216</v>
      </c>
      <c r="AA57" s="72">
        <v>110217</v>
      </c>
      <c r="AB57" s="72">
        <v>110218</v>
      </c>
      <c r="AC57" s="72">
        <v>513083</v>
      </c>
    </row>
    <row r="58" spans="1:39" ht="32.1" customHeight="1">
      <c r="A58" s="164"/>
      <c r="B58" s="137" t="str">
        <f>VLOOKUP("Stk",Sprachindex!A:Z,Info!$O$6,FALSE)</f>
        <v>STK</v>
      </c>
      <c r="C58" s="146"/>
      <c r="D58" s="142">
        <v>340943</v>
      </c>
      <c r="E58" s="264" t="str">
        <f>VLOOKUP("PREFA Faltmanschette Ø 100-130",Sprachindex!A:Z,Info!$O$6,FALSE)</f>
        <v>PREFA Faltmanschette Ø 100-130</v>
      </c>
      <c r="F58" s="265"/>
      <c r="G58" s="265"/>
      <c r="H58" s="265"/>
      <c r="I58" s="265"/>
      <c r="J58" s="265"/>
      <c r="K58" s="266"/>
      <c r="L58" s="137" t="str">
        <f t="shared" si="4"/>
        <v/>
      </c>
      <c r="M58" s="147"/>
      <c r="P58" s="11"/>
      <c r="Q58" s="11" t="str">
        <f>ROUNDUP(A58/1,0)*1 &amp;" " &amp; VLOOKUP("Stk",Sprachindex!A:Z,Info!$O$6,FALSE)</f>
        <v>0 STK</v>
      </c>
      <c r="T58" s="75" t="s">
        <v>1554</v>
      </c>
      <c r="U58" s="75" t="s">
        <v>1555</v>
      </c>
      <c r="V58" s="75" t="s">
        <v>1556</v>
      </c>
      <c r="W58" s="75" t="s">
        <v>1557</v>
      </c>
      <c r="X58" s="75" t="s">
        <v>1558</v>
      </c>
      <c r="Y58" s="75" t="s">
        <v>1559</v>
      </c>
      <c r="Z58" s="75" t="s">
        <v>1560</v>
      </c>
      <c r="AA58" s="75" t="s">
        <v>1561</v>
      </c>
      <c r="AB58" s="75" t="s">
        <v>1562</v>
      </c>
      <c r="AC58" s="75" t="s">
        <v>1563</v>
      </c>
      <c r="AD58" s="75" t="s">
        <v>1554</v>
      </c>
      <c r="AE58" s="75" t="s">
        <v>1555</v>
      </c>
      <c r="AF58" s="75" t="s">
        <v>1556</v>
      </c>
      <c r="AG58" s="75" t="s">
        <v>1557</v>
      </c>
      <c r="AH58" s="75" t="s">
        <v>1558</v>
      </c>
      <c r="AI58" s="75" t="s">
        <v>1559</v>
      </c>
      <c r="AJ58" s="75" t="s">
        <v>1560</v>
      </c>
      <c r="AK58" s="75" t="s">
        <v>1561</v>
      </c>
      <c r="AL58" s="75" t="s">
        <v>1562</v>
      </c>
      <c r="AM58" s="75" t="s">
        <v>1563</v>
      </c>
    </row>
    <row r="59" spans="1:39" ht="32.1" customHeight="1">
      <c r="A59" s="164"/>
      <c r="B59" s="137" t="str">
        <f>VLOOKUP("Stk",Sprachindex!A:Z,Info!$O$6,FALSE)</f>
        <v>STK</v>
      </c>
      <c r="C59" s="146"/>
      <c r="D59" s="136">
        <f t="shared" ref="D59" si="5">IF(AND($N$8=2,$N$20=1),T59,IF(AND($N$8=2,$N$20=4),U59,IF(AND($N$8=2,$N$20=5),V59,IF(AND($N$8=2,$N$20=11),W59,IF(AND($N$8=2,$N$20=7),X59,IF(AND($N$8=2,$N$20=3),Y59,IF(AND($N$8=2,$N$20=6),Z59,IF(AND($N$8=2,$N$20=9),AA59,IF(AND($N$8=2,$N$20=2),AB59,IF(AND($N$8=2,$N$20=8),AC59,IF(AND($N$8=1,$N$20=1),AD59,IF(AND($N$8=1,$N$20=1),AD59,IF(AND($N$8=1,$N$20=4),AE59,IF(AND($N$8=1,$N$20=5),AF59,IF(AND($N$8=1,$N$20=11),AG59,IF(AND($N$8=1,$N$20=7),AH59,IF(AND($N$8=1,$N$20=3),AI59,IF(AND($N$8=1,$N$20=6),AJ59,IF(AND($N$8=1,$N$20=9),AK59,IF(AND($N$8=1,$N$20=2),AL59,IF(AND($N$8=1,$N$20=8),AM59,0)))))))))))))))))))))</f>
        <v>0</v>
      </c>
      <c r="E59" s="264" t="str">
        <f>VLOOKUP("PREFA Unterlagsplatte L=540 x B=125 mm, stucco",Sprachindex!A:Z,Info!$O$6,FALSE)</f>
        <v>PREFA Unterlagsplatte L=540 x B=125 mm, stucco</v>
      </c>
      <c r="F59" s="265"/>
      <c r="G59" s="265"/>
      <c r="H59" s="265"/>
      <c r="I59" s="265"/>
      <c r="J59" s="265"/>
      <c r="K59" s="266"/>
      <c r="L59" s="137" t="str">
        <f t="shared" si="4"/>
        <v/>
      </c>
      <c r="M59" s="147"/>
      <c r="P59" s="11"/>
      <c r="Q59" s="11" t="str">
        <f>ROUNDUP(A59/1,0)*1 &amp;" " &amp; VLOOKUP("Stk",Sprachindex!A:Z,Info!$O$6,FALSE)</f>
        <v>0 STK</v>
      </c>
      <c r="T59" s="72">
        <v>110360</v>
      </c>
      <c r="U59" s="72">
        <v>110361</v>
      </c>
      <c r="V59" s="72">
        <v>110362</v>
      </c>
      <c r="W59" s="72">
        <v>110363</v>
      </c>
      <c r="X59" s="72">
        <v>110364</v>
      </c>
      <c r="Y59" s="72">
        <v>110365</v>
      </c>
      <c r="Z59" s="72">
        <v>110366</v>
      </c>
      <c r="AA59" s="72">
        <v>110367</v>
      </c>
      <c r="AB59" s="72">
        <v>110368</v>
      </c>
      <c r="AD59" s="72">
        <v>110370</v>
      </c>
      <c r="AE59" s="72">
        <v>110371</v>
      </c>
      <c r="AF59" s="72">
        <v>110372</v>
      </c>
      <c r="AG59" s="72">
        <v>110373</v>
      </c>
      <c r="AH59" s="72">
        <v>110374</v>
      </c>
      <c r="AI59" s="72">
        <v>110375</v>
      </c>
      <c r="AJ59" s="72">
        <v>110376</v>
      </c>
      <c r="AK59" s="72">
        <v>110377</v>
      </c>
      <c r="AL59" s="72">
        <v>110378</v>
      </c>
    </row>
    <row r="60" spans="1:39" ht="32.1" customHeight="1">
      <c r="A60" s="164"/>
      <c r="B60" s="137" t="str">
        <f>VLOOKUP("Stk",Sprachindex!A:Z,Info!$O$6,FALSE)</f>
        <v>STK</v>
      </c>
      <c r="C60" s="146"/>
      <c r="D60" s="136">
        <f t="shared" ref="D60:D76" si="6">IF($N$20=1,T60,IF($N$20=4,U60,IF($N$20=5,V60,IF($N$20=11,W60,IF($N$20=7,X60,IF($N$20=3,Y60,IF($N$20=6,Z60,IF($N$20=9,AA60,IF($N$20=2,AB60,IF($N$20=8,AC60,0))))))))))</f>
        <v>0</v>
      </c>
      <c r="E60" s="264" t="str">
        <f>VLOOKUP("PREFA Schneestopper für Dachplatte R.16 und FX.12",Sprachindex!A:Z,Info!$O$6,FALSE)</f>
        <v>PREFA Schneestopper für Dachplatte R.16 und FX.12</v>
      </c>
      <c r="F60" s="265"/>
      <c r="G60" s="265"/>
      <c r="H60" s="265"/>
      <c r="I60" s="265"/>
      <c r="J60" s="265"/>
      <c r="K60" s="266"/>
      <c r="L60" s="137" t="str">
        <f t="shared" si="4"/>
        <v/>
      </c>
      <c r="M60" s="147"/>
      <c r="P60" s="11"/>
      <c r="Q60" s="11" t="str">
        <f>ROUNDUP(A60/1,0)*1 &amp;" " &amp; VLOOKUP("Stk",Sprachindex!A:Z,Info!$O$6,FALSE)</f>
        <v>0 STK</v>
      </c>
      <c r="T60" s="72">
        <v>112041</v>
      </c>
      <c r="U60" s="72">
        <v>112042</v>
      </c>
      <c r="V60" s="72">
        <v>112043</v>
      </c>
      <c r="W60" s="72">
        <v>112044</v>
      </c>
      <c r="X60" s="72">
        <v>112045</v>
      </c>
      <c r="Y60" s="72">
        <v>112046</v>
      </c>
      <c r="Z60" s="72">
        <v>112047</v>
      </c>
      <c r="AA60" s="72">
        <v>112048</v>
      </c>
      <c r="AB60" s="72">
        <v>112049</v>
      </c>
      <c r="AC60" s="72">
        <v>112040</v>
      </c>
    </row>
    <row r="61" spans="1:39" ht="32.1" customHeight="1">
      <c r="A61" s="164"/>
      <c r="B61" s="137" t="str">
        <f>VLOOKUP("Stk",Sprachindex!A:Z,Info!$O$6,FALSE)</f>
        <v>STK</v>
      </c>
      <c r="C61" s="146"/>
      <c r="D61" s="136">
        <f t="shared" si="6"/>
        <v>0</v>
      </c>
      <c r="E61" s="264" t="str">
        <f>VLOOKUP("PREFA Schneerechenhaken",Sprachindex!A:Z,Info!$O$6,FALSE)</f>
        <v>PREFA Schneerechenhaken</v>
      </c>
      <c r="F61" s="265"/>
      <c r="G61" s="265"/>
      <c r="H61" s="265"/>
      <c r="I61" s="265"/>
      <c r="J61" s="265"/>
      <c r="K61" s="266"/>
      <c r="L61" s="137" t="str">
        <f t="shared" si="4"/>
        <v/>
      </c>
      <c r="M61" s="147"/>
      <c r="P61" s="11"/>
      <c r="Q61" s="11" t="str">
        <f>ROUNDUP(A61/1,0)*1 &amp;" " &amp; VLOOKUP("Stk",Sprachindex!A:Z,Info!$O$6,FALSE)</f>
        <v>0 STK</v>
      </c>
      <c r="T61" s="72">
        <v>120130</v>
      </c>
      <c r="U61" s="72">
        <v>120131</v>
      </c>
      <c r="V61" s="72">
        <v>120132</v>
      </c>
      <c r="W61" s="72">
        <v>120133</v>
      </c>
      <c r="X61" s="72">
        <v>120134</v>
      </c>
      <c r="Y61" s="72">
        <v>120135</v>
      </c>
      <c r="Z61" s="72">
        <v>120136</v>
      </c>
      <c r="AA61" s="72">
        <v>120137</v>
      </c>
      <c r="AB61" s="72">
        <v>120138</v>
      </c>
      <c r="AC61" s="72">
        <v>515006</v>
      </c>
    </row>
    <row r="62" spans="1:39" ht="32.1" customHeight="1">
      <c r="A62" s="164"/>
      <c r="B62" s="137" t="str">
        <f>VLOOKUP("lfm",Sprachindex!A:Z,Info!$O$6,FALSE)</f>
        <v>lfm</v>
      </c>
      <c r="C62" s="146"/>
      <c r="D62" s="136">
        <f t="shared" si="6"/>
        <v>0</v>
      </c>
      <c r="E62" s="264" t="str">
        <f>VLOOKUP("PREFA Rundstange (15 Ø x 3.000 mm) für Schneerechenhaken",Sprachindex!A:Z,Info!$O$6,FALSE)</f>
        <v>PREFA Rundstange (15 Ø x 3.000 mm) für Schneerechenhaken</v>
      </c>
      <c r="F62" s="265"/>
      <c r="G62" s="265"/>
      <c r="H62" s="265"/>
      <c r="I62" s="265"/>
      <c r="J62" s="265"/>
      <c r="K62" s="266"/>
      <c r="L62" s="137" t="str">
        <f t="shared" si="4"/>
        <v/>
      </c>
      <c r="M62" s="147"/>
      <c r="P62" s="11"/>
      <c r="Q62" s="11" t="str">
        <f>ROUNDUP(A62/3,0)*3 &amp;" " &amp; VLOOKUP("lfm",Sprachindex!A:Z,Info!$O$6,FALSE)</f>
        <v>0 lfm</v>
      </c>
      <c r="T62" s="72">
        <v>120300</v>
      </c>
      <c r="U62" s="72">
        <v>120301</v>
      </c>
      <c r="V62" s="72">
        <v>120302</v>
      </c>
      <c r="W62" s="72">
        <v>120303</v>
      </c>
      <c r="X62" s="72">
        <v>120304</v>
      </c>
      <c r="Y62" s="72">
        <v>120305</v>
      </c>
      <c r="Z62" s="72">
        <v>120306</v>
      </c>
      <c r="AA62" s="72">
        <v>120307</v>
      </c>
      <c r="AB62" s="72">
        <v>120308</v>
      </c>
      <c r="AC62" s="72">
        <v>569003</v>
      </c>
    </row>
    <row r="63" spans="1:39" ht="32.1" customHeight="1">
      <c r="A63" s="164"/>
      <c r="B63" s="137" t="str">
        <f>VLOOKUP("Stk",Sprachindex!A:Z,Info!$O$6,FALSE)</f>
        <v>STK</v>
      </c>
      <c r="C63" s="146"/>
      <c r="D63" s="136">
        <f t="shared" si="6"/>
        <v>0</v>
      </c>
      <c r="E63" s="264" t="str">
        <f>VLOOKUP("PREFA Abschluss für Schneerechen",Sprachindex!A:Z,Info!$O$6,FALSE)</f>
        <v>PREFA Abschluss für Schneerechen</v>
      </c>
      <c r="F63" s="265"/>
      <c r="G63" s="265"/>
      <c r="H63" s="265"/>
      <c r="I63" s="265"/>
      <c r="J63" s="265"/>
      <c r="K63" s="266"/>
      <c r="L63" s="137" t="str">
        <f t="shared" si="4"/>
        <v/>
      </c>
      <c r="M63" s="147"/>
      <c r="P63" s="11"/>
      <c r="Q63" s="11" t="str">
        <f>ROUNDUP(A63/1,0)*1 &amp;" " &amp; VLOOKUP("Stk",Sprachindex!A:Z,Info!$O$6,FALSE)</f>
        <v>0 STK</v>
      </c>
      <c r="T63" s="72">
        <v>120380</v>
      </c>
      <c r="U63" s="72">
        <v>120381</v>
      </c>
      <c r="V63" s="72">
        <v>120382</v>
      </c>
      <c r="W63" s="72">
        <v>120383</v>
      </c>
      <c r="X63" s="72">
        <v>120384</v>
      </c>
      <c r="Y63" s="72">
        <v>120385</v>
      </c>
      <c r="Z63" s="72">
        <v>120386</v>
      </c>
      <c r="AA63" s="72">
        <v>120387</v>
      </c>
      <c r="AB63" s="72">
        <v>120388</v>
      </c>
      <c r="AC63" s="72">
        <v>537170</v>
      </c>
    </row>
    <row r="64" spans="1:39" ht="32.1" customHeight="1">
      <c r="A64" s="164"/>
      <c r="B64" s="137" t="str">
        <f>VLOOKUP("Stk",Sprachindex!A:Z,Info!$O$6,FALSE)</f>
        <v>STK</v>
      </c>
      <c r="C64" s="146"/>
      <c r="D64" s="136">
        <f t="shared" si="6"/>
        <v>0</v>
      </c>
      <c r="E64" s="264" t="str">
        <f>VLOOKUP("PREFA Schneerechensystem (205 x 66 x 303 mm)",Sprachindex!A:Z,Info!$O$6,FALSE)</f>
        <v>PREFA Schneerechensystem (205 x 66 x 303 mm)</v>
      </c>
      <c r="F64" s="265"/>
      <c r="G64" s="265"/>
      <c r="H64" s="265"/>
      <c r="I64" s="265"/>
      <c r="J64" s="265"/>
      <c r="K64" s="266"/>
      <c r="L64" s="137" t="str">
        <f t="shared" si="4"/>
        <v/>
      </c>
      <c r="M64" s="147"/>
      <c r="P64" s="11"/>
      <c r="Q64" s="11" t="str">
        <f>ROUNDUP(A64/2,0)*2 &amp;" " &amp; VLOOKUP("Stk",Sprachindex!A:Z,Info!$O$6,FALSE)</f>
        <v>0 STK</v>
      </c>
      <c r="T64" s="72">
        <v>120180</v>
      </c>
      <c r="U64" s="72">
        <v>120181</v>
      </c>
      <c r="V64" s="72">
        <v>120182</v>
      </c>
      <c r="W64" s="72">
        <v>120183</v>
      </c>
      <c r="X64" s="72">
        <v>120184</v>
      </c>
      <c r="Y64" s="72">
        <v>120185</v>
      </c>
      <c r="Z64" s="72">
        <v>120186</v>
      </c>
      <c r="AA64" s="72">
        <v>120187</v>
      </c>
      <c r="AB64" s="72">
        <v>120188</v>
      </c>
      <c r="AC64" s="72">
        <v>515311</v>
      </c>
    </row>
    <row r="65" spans="1:39" ht="32.1" customHeight="1">
      <c r="A65" s="164"/>
      <c r="B65" s="137" t="str">
        <f>VLOOKUP("lfm",Sprachindex!A:Z,Info!$O$6,FALSE)</f>
        <v>lfm</v>
      </c>
      <c r="C65" s="146"/>
      <c r="D65" s="136">
        <f t="shared" si="6"/>
        <v>0</v>
      </c>
      <c r="E65" s="264" t="str">
        <f>VLOOKUP("PREFA Schneerechensystem Einlegprofil (3.000 mm)",Sprachindex!A:Z,Info!$O$6,FALSE)</f>
        <v>PREFA Schneerechensystem Einlegprofil (3.000 mm)</v>
      </c>
      <c r="F65" s="265"/>
      <c r="G65" s="265"/>
      <c r="H65" s="265"/>
      <c r="I65" s="265"/>
      <c r="J65" s="265"/>
      <c r="K65" s="266"/>
      <c r="L65" s="137" t="str">
        <f t="shared" si="4"/>
        <v/>
      </c>
      <c r="M65" s="147"/>
      <c r="P65" s="11"/>
      <c r="Q65" s="11" t="str">
        <f>ROUNDUP(A65/3,0)*3 &amp;" " &amp; VLOOKUP("lfm",Sprachindex!A:Z,Info!$O$6,FALSE)</f>
        <v>0 lfm</v>
      </c>
      <c r="T65" s="72">
        <v>120350</v>
      </c>
      <c r="U65" s="72">
        <v>120351</v>
      </c>
      <c r="V65" s="72">
        <v>120352</v>
      </c>
      <c r="W65" s="72">
        <v>120353</v>
      </c>
      <c r="X65" s="72">
        <v>120354</v>
      </c>
      <c r="Y65" s="72">
        <v>120355</v>
      </c>
      <c r="Z65" s="72">
        <v>120356</v>
      </c>
      <c r="AA65" s="72">
        <v>120357</v>
      </c>
      <c r="AB65" s="72">
        <v>120358</v>
      </c>
      <c r="AC65" s="1">
        <v>669600</v>
      </c>
    </row>
    <row r="66" spans="1:39" ht="32.1" customHeight="1">
      <c r="A66" s="164"/>
      <c r="B66" s="137" t="str">
        <f>VLOOKUP("Stk",Sprachindex!A:Z,Info!$O$6,FALSE)</f>
        <v>STK</v>
      </c>
      <c r="C66" s="146"/>
      <c r="D66" s="136">
        <f t="shared" si="6"/>
        <v>0</v>
      </c>
      <c r="E66" s="264" t="str">
        <f>VLOOKUP("PREFA Schneerechensystem Eiskralle",Sprachindex!A:Z,Info!$O$6,FALSE)</f>
        <v>PREFA Schneerechensystem Eiskralle</v>
      </c>
      <c r="F66" s="265"/>
      <c r="G66" s="265"/>
      <c r="H66" s="265"/>
      <c r="I66" s="265"/>
      <c r="J66" s="265"/>
      <c r="K66" s="266"/>
      <c r="L66" s="137" t="str">
        <f t="shared" si="4"/>
        <v/>
      </c>
      <c r="M66" s="147"/>
      <c r="P66" s="11"/>
      <c r="Q66" s="11" t="str">
        <f>ROUNDUP(A66/1,0)*1 &amp;" " &amp; VLOOKUP("Stk",Sprachindex!A:Z,Info!$O$6,FALSE)</f>
        <v>0 STK</v>
      </c>
      <c r="T66" s="72">
        <v>120700</v>
      </c>
      <c r="U66" s="72">
        <v>120701</v>
      </c>
      <c r="V66" s="72">
        <v>120702</v>
      </c>
      <c r="W66" s="72">
        <v>120703</v>
      </c>
      <c r="X66" s="72">
        <v>120704</v>
      </c>
      <c r="Y66" s="72">
        <v>120705</v>
      </c>
      <c r="Z66" s="72">
        <v>120706</v>
      </c>
      <c r="AA66" s="72">
        <v>120707</v>
      </c>
      <c r="AB66" s="72">
        <v>120708</v>
      </c>
      <c r="AC66" s="72">
        <v>649651</v>
      </c>
    </row>
    <row r="67" spans="1:39" ht="32.1" customHeight="1">
      <c r="A67" s="164"/>
      <c r="B67" s="137" t="str">
        <f>VLOOKUP("Stk",Sprachindex!A:Z,Info!$O$6,FALSE)</f>
        <v>STK</v>
      </c>
      <c r="C67" s="146"/>
      <c r="D67" s="136">
        <f t="shared" si="6"/>
        <v>0</v>
      </c>
      <c r="E67" s="264" t="str">
        <f>VLOOKUP("PREFA Schneerechensystem Abschluss",Sprachindex!A:Z,Info!$O$6,FALSE)</f>
        <v>PREFA Schneerechensystem Abschluss</v>
      </c>
      <c r="F67" s="265"/>
      <c r="G67" s="265"/>
      <c r="H67" s="265"/>
      <c r="I67" s="265"/>
      <c r="J67" s="265"/>
      <c r="K67" s="266"/>
      <c r="L67" s="137" t="str">
        <f t="shared" si="4"/>
        <v/>
      </c>
      <c r="M67" s="147"/>
      <c r="P67" s="11"/>
      <c r="Q67" s="11" t="str">
        <f>ROUNDUP(A67/1,0)*1 &amp;" " &amp; VLOOKUP("Stk",Sprachindex!A:Z,Info!$O$6,FALSE)</f>
        <v>0 STK</v>
      </c>
      <c r="T67" s="72">
        <v>120390</v>
      </c>
      <c r="U67" s="72">
        <v>120391</v>
      </c>
      <c r="V67" s="72">
        <v>120392</v>
      </c>
      <c r="W67" s="72">
        <v>120393</v>
      </c>
      <c r="X67" s="72">
        <v>120394</v>
      </c>
      <c r="Y67" s="72">
        <v>120395</v>
      </c>
      <c r="Z67" s="72">
        <v>120396</v>
      </c>
      <c r="AA67" s="72">
        <v>120397</v>
      </c>
      <c r="AB67" s="72">
        <v>120398</v>
      </c>
      <c r="AC67" s="72">
        <v>515312</v>
      </c>
    </row>
    <row r="68" spans="1:39" ht="32.1" customHeight="1">
      <c r="A68" s="164"/>
      <c r="B68" s="137" t="str">
        <f>VLOOKUP("Stk",Sprachindex!A:Z,Info!$O$6,FALSE)</f>
        <v>STK</v>
      </c>
      <c r="C68" s="146"/>
      <c r="D68" s="136">
        <f t="shared" si="6"/>
        <v>0</v>
      </c>
      <c r="E68" s="264" t="str">
        <f>VLOOKUP("PREFA Gebirgsschneefangstütze",Sprachindex!A:Z,Info!$O$6,FALSE)</f>
        <v>PREFA Gebirgsschneefangstütze</v>
      </c>
      <c r="F68" s="265"/>
      <c r="G68" s="265"/>
      <c r="H68" s="265"/>
      <c r="I68" s="265"/>
      <c r="J68" s="265"/>
      <c r="K68" s="266"/>
      <c r="L68" s="137" t="str">
        <f t="shared" si="4"/>
        <v/>
      </c>
      <c r="M68" s="147"/>
      <c r="P68" s="11"/>
      <c r="Q68" s="11" t="str">
        <f>ROUNDUP(A68/1,0)*1 &amp;" " &amp; VLOOKUP("Stk",Sprachindex!A:Z,Info!$O$6,FALSE)</f>
        <v>0 STK</v>
      </c>
      <c r="T68" s="72">
        <v>120150</v>
      </c>
      <c r="U68" s="72">
        <v>120151</v>
      </c>
      <c r="V68" s="72">
        <v>120152</v>
      </c>
      <c r="W68" s="72">
        <v>120153</v>
      </c>
      <c r="X68" s="72">
        <v>120154</v>
      </c>
      <c r="Y68" s="72">
        <v>120155</v>
      </c>
      <c r="Z68" s="72">
        <v>120156</v>
      </c>
      <c r="AA68" s="72">
        <v>120157</v>
      </c>
      <c r="AB68" s="72">
        <v>120158</v>
      </c>
      <c r="AC68" s="72">
        <v>635801</v>
      </c>
    </row>
    <row r="69" spans="1:39" ht="32.1" customHeight="1">
      <c r="A69" s="164"/>
      <c r="B69" s="137" t="str">
        <f>VLOOKUP("Stk",Sprachindex!A:Z,Info!$O$6,FALSE)</f>
        <v>STK</v>
      </c>
      <c r="C69" s="146"/>
      <c r="D69" s="136">
        <f t="shared" si="6"/>
        <v>0</v>
      </c>
      <c r="E69" s="264" t="str">
        <f>VLOOKUP("PREFA Kaminhut 700 x 700 mm",Sprachindex!A:Z,Info!$O$6,FALSE)</f>
        <v>PREFA Kaminhut 700 x 700 mm</v>
      </c>
      <c r="F69" s="265"/>
      <c r="G69" s="265"/>
      <c r="H69" s="265"/>
      <c r="I69" s="265"/>
      <c r="J69" s="265"/>
      <c r="K69" s="266"/>
      <c r="L69" s="137" t="str">
        <f t="shared" si="4"/>
        <v/>
      </c>
      <c r="M69" s="147"/>
      <c r="P69" s="11"/>
      <c r="Q69" s="11" t="str">
        <f>ROUNDUP(A69/1,0)*1 &amp;" " &amp; VLOOKUP("Stk",Sprachindex!A:Z,Info!$O$6,FALSE)</f>
        <v>0 STK</v>
      </c>
      <c r="T69" s="72">
        <v>110420</v>
      </c>
      <c r="U69" s="72">
        <v>110421</v>
      </c>
      <c r="V69" s="72">
        <v>110422</v>
      </c>
      <c r="W69" s="72">
        <v>110423</v>
      </c>
      <c r="X69" s="72">
        <v>110424</v>
      </c>
      <c r="Y69" s="72">
        <v>110425</v>
      </c>
      <c r="Z69" s="72">
        <v>110426</v>
      </c>
      <c r="AA69" s="72">
        <v>110427</v>
      </c>
      <c r="AB69" s="72">
        <v>110428</v>
      </c>
      <c r="AC69" s="72">
        <v>545001</v>
      </c>
    </row>
    <row r="70" spans="1:39" ht="32.1" customHeight="1">
      <c r="A70" s="164"/>
      <c r="B70" s="137" t="str">
        <f>VLOOKUP("Stk",Sprachindex!A:Z,Info!$O$6,FALSE)</f>
        <v>STK</v>
      </c>
      <c r="C70" s="146"/>
      <c r="D70" s="136">
        <f t="shared" si="6"/>
        <v>0</v>
      </c>
      <c r="E70" s="264" t="str">
        <f>VLOOKUP("PREFA Kaminhut 800 x 800 mm",Sprachindex!A:Z,Info!$O$6,FALSE)</f>
        <v>PREFA Kaminhut 800 x 800 mm</v>
      </c>
      <c r="F70" s="265"/>
      <c r="G70" s="265"/>
      <c r="H70" s="265"/>
      <c r="I70" s="265"/>
      <c r="J70" s="265"/>
      <c r="K70" s="266"/>
      <c r="L70" s="137" t="str">
        <f t="shared" si="4"/>
        <v/>
      </c>
      <c r="M70" s="147"/>
      <c r="P70" s="11"/>
      <c r="Q70" s="11" t="str">
        <f>ROUNDUP(A70/1,0)*1 &amp;" " &amp; VLOOKUP("Stk",Sprachindex!A:Z,Info!$O$6,FALSE)</f>
        <v>0 STK</v>
      </c>
      <c r="T70" s="72">
        <v>110430</v>
      </c>
      <c r="U70" s="72">
        <v>110431</v>
      </c>
      <c r="V70" s="72">
        <v>110432</v>
      </c>
      <c r="W70" s="72">
        <v>110433</v>
      </c>
      <c r="X70" s="72">
        <v>110434</v>
      </c>
      <c r="Y70" s="72">
        <v>110435</v>
      </c>
      <c r="Z70" s="72">
        <v>110436</v>
      </c>
      <c r="AA70" s="72">
        <v>110437</v>
      </c>
      <c r="AB70" s="72">
        <v>110438</v>
      </c>
      <c r="AC70" s="72">
        <v>545012</v>
      </c>
    </row>
    <row r="71" spans="1:39" ht="32.1" customHeight="1">
      <c r="A71" s="164"/>
      <c r="B71" s="137" t="str">
        <f>VLOOKUP("Stk",Sprachindex!A:Z,Info!$O$6,FALSE)</f>
        <v>STK</v>
      </c>
      <c r="C71" s="146"/>
      <c r="D71" s="136">
        <f t="shared" si="6"/>
        <v>0</v>
      </c>
      <c r="E71" s="264" t="str">
        <f>VLOOKUP("PREFA Kaminhut 1.000 x 700 mm",Sprachindex!A:Z,Info!$O$6,FALSE)</f>
        <v>PREFA Kaminhut 1.000 x 700 mm</v>
      </c>
      <c r="F71" s="265"/>
      <c r="G71" s="265"/>
      <c r="H71" s="265"/>
      <c r="I71" s="265"/>
      <c r="J71" s="265"/>
      <c r="K71" s="266"/>
      <c r="L71" s="137" t="str">
        <f t="shared" si="4"/>
        <v/>
      </c>
      <c r="M71" s="147"/>
      <c r="P71" s="11"/>
      <c r="Q71" s="11" t="str">
        <f>ROUNDUP(A71/1,0)*1 &amp;" " &amp; VLOOKUP("Stk",Sprachindex!A:Z,Info!$O$6,FALSE)</f>
        <v>0 STK</v>
      </c>
      <c r="T71" s="72">
        <v>110440</v>
      </c>
      <c r="U71" s="72">
        <v>110441</v>
      </c>
      <c r="V71" s="72">
        <v>110442</v>
      </c>
      <c r="W71" s="72">
        <v>110443</v>
      </c>
      <c r="X71" s="72">
        <v>110444</v>
      </c>
      <c r="Y71" s="72">
        <v>110445</v>
      </c>
      <c r="Z71" s="72">
        <v>110446</v>
      </c>
      <c r="AA71" s="72">
        <v>110447</v>
      </c>
      <c r="AB71" s="72">
        <v>110448</v>
      </c>
      <c r="AC71" s="72">
        <v>545003</v>
      </c>
    </row>
    <row r="72" spans="1:39" ht="32.1" customHeight="1">
      <c r="A72" s="164"/>
      <c r="B72" s="137" t="str">
        <f>VLOOKUP("Stk",Sprachindex!A:Z,Info!$O$6,FALSE)</f>
        <v>STK</v>
      </c>
      <c r="C72" s="146"/>
      <c r="D72" s="136">
        <f t="shared" si="6"/>
        <v>0</v>
      </c>
      <c r="E72" s="264" t="str">
        <f>VLOOKUP("PREFA Kaminhut 1.100 x 800 mm",Sprachindex!A:Z,Info!$O$6,FALSE)</f>
        <v>PREFA Kaminhut 1.100 x 800 mm</v>
      </c>
      <c r="F72" s="265"/>
      <c r="G72" s="265"/>
      <c r="H72" s="265"/>
      <c r="I72" s="265"/>
      <c r="J72" s="265"/>
      <c r="K72" s="266"/>
      <c r="L72" s="137" t="str">
        <f t="shared" si="4"/>
        <v/>
      </c>
      <c r="M72" s="147"/>
      <c r="P72" s="11"/>
      <c r="Q72" s="11" t="str">
        <f>ROUNDUP(A72/1,0)*1 &amp;" " &amp; VLOOKUP("Stk",Sprachindex!A:Z,Info!$O$6,FALSE)</f>
        <v>0 STK</v>
      </c>
      <c r="T72" s="72">
        <v>110450</v>
      </c>
      <c r="U72" s="72">
        <v>110451</v>
      </c>
      <c r="V72" s="72">
        <v>110452</v>
      </c>
      <c r="W72" s="72">
        <v>110453</v>
      </c>
      <c r="X72" s="72">
        <v>110454</v>
      </c>
      <c r="Y72" s="72">
        <v>110455</v>
      </c>
      <c r="Z72" s="72">
        <v>110456</v>
      </c>
      <c r="AA72" s="72">
        <v>110457</v>
      </c>
      <c r="AB72" s="72">
        <v>110458</v>
      </c>
      <c r="AC72" s="72">
        <v>545016</v>
      </c>
    </row>
    <row r="73" spans="1:39" ht="32.1" customHeight="1">
      <c r="A73" s="164"/>
      <c r="B73" s="137" t="str">
        <f>VLOOKUP("Stk",Sprachindex!A:Z,Info!$O$6,FALSE)</f>
        <v>STK</v>
      </c>
      <c r="C73" s="146"/>
      <c r="D73" s="136">
        <f t="shared" si="6"/>
        <v>0</v>
      </c>
      <c r="E73" s="264" t="str">
        <f>VLOOKUP("PREFA Kaminhut 1.500 x 800 mm",Sprachindex!A:Z,Info!$O$6,FALSE)</f>
        <v>PREFA Kaminhut 1.500 x 800 mm</v>
      </c>
      <c r="F73" s="265"/>
      <c r="G73" s="265"/>
      <c r="H73" s="265"/>
      <c r="I73" s="265"/>
      <c r="J73" s="265"/>
      <c r="K73" s="266"/>
      <c r="L73" s="137" t="str">
        <f t="shared" si="4"/>
        <v/>
      </c>
      <c r="M73" s="147"/>
      <c r="P73" s="11"/>
      <c r="Q73" s="11" t="str">
        <f>ROUNDUP(A73/1,0)*1 &amp;" " &amp; VLOOKUP("Stk",Sprachindex!A:Z,Info!$O$6,FALSE)</f>
        <v>0 STK</v>
      </c>
      <c r="T73" s="72">
        <v>110460</v>
      </c>
      <c r="U73" s="72">
        <v>110461</v>
      </c>
      <c r="V73" s="72">
        <v>110462</v>
      </c>
      <c r="W73" s="72">
        <v>110463</v>
      </c>
      <c r="X73" s="72">
        <v>110464</v>
      </c>
      <c r="Y73" s="72">
        <v>110465</v>
      </c>
      <c r="Z73" s="72">
        <v>110466</v>
      </c>
      <c r="AA73" s="72">
        <v>110467</v>
      </c>
      <c r="AB73" s="72">
        <v>110468</v>
      </c>
      <c r="AC73" s="72">
        <v>545005</v>
      </c>
    </row>
    <row r="74" spans="1:39" ht="32.1" customHeight="1">
      <c r="A74" s="164"/>
      <c r="B74" s="137" t="str">
        <f>VLOOKUP("Stk",Sprachindex!A:Z,Info!$O$6,FALSE)</f>
        <v>STK</v>
      </c>
      <c r="C74" s="146"/>
      <c r="D74" s="136">
        <f t="shared" si="6"/>
        <v>0</v>
      </c>
      <c r="E74" s="264" t="str">
        <f>VLOOKUP("Kaminstrebe gebogen",Sprachindex!A:Z,Info!$O$6,FALSE)</f>
        <v>Kaminstrebe gebogen</v>
      </c>
      <c r="F74" s="265"/>
      <c r="G74" s="265"/>
      <c r="H74" s="265"/>
      <c r="I74" s="265"/>
      <c r="J74" s="265"/>
      <c r="K74" s="266"/>
      <c r="L74" s="137" t="str">
        <f t="shared" si="4"/>
        <v/>
      </c>
      <c r="M74" s="147"/>
      <c r="P74" s="11"/>
      <c r="Q74" s="11" t="str">
        <f>ROUNDUP(A74/1,0)*1 &amp;" " &amp; VLOOKUP("Stk",Sprachindex!A:Z,Info!$O$6,FALSE)</f>
        <v>0 STK</v>
      </c>
      <c r="T74" s="72">
        <v>110410</v>
      </c>
      <c r="U74" s="72">
        <v>110411</v>
      </c>
      <c r="V74" s="72">
        <v>110412</v>
      </c>
      <c r="W74" s="72">
        <v>110413</v>
      </c>
      <c r="X74" s="72">
        <v>110414</v>
      </c>
      <c r="Y74" s="72">
        <v>110415</v>
      </c>
      <c r="Z74" s="72">
        <v>110416</v>
      </c>
      <c r="AA74" s="72">
        <v>110417</v>
      </c>
      <c r="AB74" s="72">
        <v>110418</v>
      </c>
      <c r="AC74" s="72">
        <v>537029</v>
      </c>
    </row>
    <row r="75" spans="1:39" ht="32.1" customHeight="1">
      <c r="A75" s="164"/>
      <c r="B75" s="137" t="str">
        <f>VLOOKUP("lfm",Sprachindex!A:Z,Info!$O$6,FALSE)</f>
        <v>lfm</v>
      </c>
      <c r="C75" s="146"/>
      <c r="D75" s="136">
        <f t="shared" si="6"/>
        <v>0</v>
      </c>
      <c r="E75" s="264" t="str">
        <f>VLOOKUP("PREFA Flachprofil (35 x 7 x 3.000 mm)",Sprachindex!A:Z,Info!$O$6,FALSE)</f>
        <v>PREFA Flachprofil (35 x 7 x 3.000 mm)</v>
      </c>
      <c r="F75" s="265"/>
      <c r="G75" s="265"/>
      <c r="H75" s="265"/>
      <c r="I75" s="265"/>
      <c r="J75" s="265"/>
      <c r="K75" s="266"/>
      <c r="L75" s="137" t="str">
        <f t="shared" si="4"/>
        <v/>
      </c>
      <c r="M75" s="147"/>
      <c r="P75" s="11"/>
      <c r="Q75" s="11" t="str">
        <f>ROUNDUP(A75/3,0)*3 &amp;" " &amp; VLOOKUP("lfm",Sprachindex!A:Z,Info!$O$6,FALSE)</f>
        <v>0 lfm</v>
      </c>
      <c r="T75" s="72">
        <v>110400</v>
      </c>
      <c r="U75" s="72">
        <v>110401</v>
      </c>
      <c r="V75" s="72">
        <v>110402</v>
      </c>
      <c r="W75" s="72">
        <v>110403</v>
      </c>
      <c r="X75" s="72">
        <v>110404</v>
      </c>
      <c r="Y75" s="72">
        <v>110405</v>
      </c>
      <c r="Z75" s="72">
        <v>110406</v>
      </c>
      <c r="AA75" s="72">
        <v>110407</v>
      </c>
      <c r="AB75" s="72">
        <v>110408</v>
      </c>
      <c r="AC75" s="72">
        <v>17012</v>
      </c>
    </row>
    <row r="76" spans="1:39" ht="32.1" customHeight="1">
      <c r="A76" s="164"/>
      <c r="B76" s="137" t="str">
        <f>VLOOKUP("Stk",Sprachindex!A:Z,Info!$O$6,FALSE)</f>
        <v>STK</v>
      </c>
      <c r="C76" s="146"/>
      <c r="D76" s="136">
        <f t="shared" si="6"/>
        <v>0</v>
      </c>
      <c r="E76" s="264" t="str">
        <f>VLOOKUP("PREFA Hauerbuckel, zum Abdecken von Befestigungsmitteln",Sprachindex!A:Z,Info!$O$6,FALSE)</f>
        <v>PREFA Hauerbuckel, zum Abdecken von Befestigungsmitteln</v>
      </c>
      <c r="F76" s="265"/>
      <c r="G76" s="265"/>
      <c r="H76" s="265"/>
      <c r="I76" s="265"/>
      <c r="J76" s="265"/>
      <c r="K76" s="266"/>
      <c r="L76" s="137" t="str">
        <f t="shared" si="4"/>
        <v/>
      </c>
      <c r="M76" s="147"/>
      <c r="P76" s="11"/>
      <c r="Q76" s="11" t="str">
        <f>ROUNDUP(A76/1,0)*1 &amp;" " &amp; VLOOKUP("Stk",Sprachindex!A:Z,Info!$O$6,FALSE)</f>
        <v>0 STK</v>
      </c>
      <c r="T76" s="72">
        <v>112401</v>
      </c>
      <c r="U76" s="72">
        <v>112402</v>
      </c>
      <c r="V76" s="72">
        <v>112403</v>
      </c>
      <c r="W76" s="72">
        <v>112404</v>
      </c>
      <c r="X76" s="72">
        <v>112405</v>
      </c>
      <c r="Y76" s="72">
        <v>112406</v>
      </c>
      <c r="Z76" s="72">
        <v>112407</v>
      </c>
      <c r="AA76" s="72">
        <v>112408</v>
      </c>
      <c r="AB76" s="72">
        <v>112409</v>
      </c>
      <c r="AC76" s="72">
        <v>112420</v>
      </c>
    </row>
    <row r="77" spans="1:39" ht="32.1" customHeight="1">
      <c r="A77" s="164"/>
      <c r="B77" s="137" t="str">
        <f>VLOOKUP("Stk",Sprachindex!A:Z,Info!$O$6,FALSE)</f>
        <v>STK</v>
      </c>
      <c r="C77" s="146"/>
      <c r="D77" s="136">
        <v>420006</v>
      </c>
      <c r="E77" s="264" t="str">
        <f>VLOOKUP("PREFA Silikon Kartusche",Sprachindex!A:Z,Info!$O$6,FALSE)</f>
        <v>PREFA Silikon Kartusche</v>
      </c>
      <c r="F77" s="265"/>
      <c r="G77" s="265"/>
      <c r="H77" s="265"/>
      <c r="I77" s="265"/>
      <c r="J77" s="265"/>
      <c r="K77" s="266"/>
      <c r="L77" s="137" t="str">
        <f t="shared" si="4"/>
        <v/>
      </c>
      <c r="M77" s="147"/>
      <c r="P77" s="57"/>
      <c r="Q77" s="11" t="str">
        <f>ROUNDUP(A77/1,0)*1 &amp;" " &amp; VLOOKUP("Stk",Sprachindex!A:Z,Info!$O$6,FALSE)</f>
        <v>0 STK</v>
      </c>
    </row>
    <row r="78" spans="1:39" ht="32.1" customHeight="1">
      <c r="A78" s="164"/>
      <c r="B78" s="137" t="str">
        <f>VLOOKUP("Set",Sprachindex!A:Z,Info!$O$6,FALSE)</f>
        <v>Set</v>
      </c>
      <c r="C78" s="146"/>
      <c r="D78" s="136">
        <v>420500</v>
      </c>
      <c r="E78" s="264" t="str">
        <f>VLOOKUP("PREFA Spezialkleberset",Sprachindex!A:Z,Info!$O$6,FALSE)</f>
        <v>PREFA Spezialkleberset</v>
      </c>
      <c r="F78" s="265"/>
      <c r="G78" s="265"/>
      <c r="H78" s="265"/>
      <c r="I78" s="265"/>
      <c r="J78" s="265"/>
      <c r="K78" s="266"/>
      <c r="L78" s="137" t="str">
        <f t="shared" si="4"/>
        <v/>
      </c>
      <c r="M78" s="147"/>
      <c r="P78" s="11"/>
      <c r="Q78" s="11" t="str">
        <f>ROUNDUP(A78/1,0)*1 &amp;" " &amp; VLOOKUP("Set",Sprachindex!A:Z,Info!$O$6,FALSE)</f>
        <v>0 Set</v>
      </c>
    </row>
    <row r="79" spans="1:39" ht="32.1" customHeight="1">
      <c r="A79" s="164"/>
      <c r="B79" s="137" t="str">
        <f>VLOOKUP("kg",Sprachindex!A:Z,Info!$O$6,FALSE)</f>
        <v>kg</v>
      </c>
      <c r="C79" s="146"/>
      <c r="D79" s="136">
        <f>IF(I79=Formeln!A116,X79,IF(I79=Formeln!A117,T79,IF(I79=Formeln!A118,U79,IF(I79=Formeln!A119,V79,IF(I79=Formeln!A120,W79,0)))))</f>
        <v>0</v>
      </c>
      <c r="E79" s="267" t="str">
        <f>VLOOKUP("PREFA Lochblech DM 5 mm
ca. 24kg/Rolle (0,7x1.000 mm)",Sprachindex!A:Z,Info!$O$6,FALSE)</f>
        <v>PREFA Lochblech DM 5 mm
ca. 24kg/Rolle (0,7x1.000 mm)</v>
      </c>
      <c r="F79" s="268"/>
      <c r="G79" s="268"/>
      <c r="H79" s="268"/>
      <c r="I79" s="269"/>
      <c r="J79" s="270"/>
      <c r="K79" s="271"/>
      <c r="L79" s="137" t="str">
        <f t="shared" si="4"/>
        <v/>
      </c>
      <c r="M79" s="147"/>
      <c r="P79" s="11"/>
      <c r="Q79" s="11" t="str">
        <f>ROUNDUP(A79/24,0)*1 &amp; " " &amp; R79 &amp; "                         (" &amp;ROUNDUP(A79/24,0)*24&amp;" " &amp; B79 &amp; ")"</f>
        <v>0 Rolle                         (0 kg)</v>
      </c>
      <c r="R79" s="11" t="str">
        <f>IF(A79&gt;21.24, Formeln!A128, Formeln!A127)</f>
        <v>Rolle</v>
      </c>
      <c r="T79" s="72">
        <v>507202</v>
      </c>
      <c r="U79" s="72">
        <v>507203</v>
      </c>
      <c r="V79" s="72">
        <v>507204</v>
      </c>
      <c r="W79" s="72">
        <v>507205</v>
      </c>
      <c r="X79" s="72">
        <v>507206</v>
      </c>
    </row>
    <row r="80" spans="1:39" ht="50.1" customHeight="1">
      <c r="A80" s="164"/>
      <c r="B80" s="137" t="str">
        <f>VLOOKUP("kg",Sprachindex!A:Z,Info!$O$6,FALSE)</f>
        <v>kg</v>
      </c>
      <c r="C80" s="146"/>
      <c r="D80" s="142">
        <f>IF(AND(I80=Formeln!A21,K80=Formeln!A134),T80,IF(AND(I80=Formeln!A21,K80=Formeln!A137),U80,IF(AND(I80=Formeln!A21,K80=Formeln!A139),V80,IF(AND(I80=Formeln!A21,K80=Formeln!A137),AE80,IF(AND(I80=Formeln!A21,K80=Formeln!A133),W80,IF(AND(I80=Formeln!A21,K80=Formeln!A141),X80,IF(AND(I80=Formeln!A21,K80=Formeln!A136),Y80,IF(AND(I80=Formeln!A21,K80=Formeln!A140),Z80,IF(AND(I80=Formeln!A21,K80=Formeln!A138),AA80,IF(AND(I80=Formeln!A21,K80=Formeln!A135),AB80,IF(AND(I80=Formeln!A21,K80=Formeln!A142),AC80,IF(AND(I80=Formeln!A22,K80=Formeln!A134),AD80,IF(AND(I80=Formeln!A22,K80=Formeln!A137),AE80,IF(AND(I80=Formeln!A22,K80=Formeln!A139),AF80,IF(AND(I80=Formeln!A22,K80=Formeln!A137),AE80,IF(AND(I80=Formeln!A22,K80=Formeln!A133),AG80,IF(AND(I80=Formeln!A22,K80=Formeln!A141),AH80,IF(AND(I80=Formeln!A22,K80=Formeln!A136),AI80,IF(AND(I80=Formeln!A22,K80=Formeln!A140),AJ80,IF(AND(I80=Formeln!A22,K80=Formeln!A138),AK80,IF(AND(I80=Formeln!A22,K80=Formeln!A135),AL80,IF(AND(I80=Formeln!A22,K80=Formeln!A142),AM80,0))))))))))))))))))))))</f>
        <v>0</v>
      </c>
      <c r="E80" s="264" t="str">
        <f>VLOOKUP("PREFALZ Ergänzungsband 0,7x1.000 mm (für Zusatzverblechungen)",Sprachindex!A:Z,Info!$O$6,FALSE)</f>
        <v>PREFALZ Ergänzungsband 0,7x1.000 mm (für Zusatzverblechungen)</v>
      </c>
      <c r="F80" s="265"/>
      <c r="G80" s="265"/>
      <c r="H80" s="148" t="str">
        <f>VLOOKUP("Oberfläche:",Sprachindex!A:Z,Info!$O$6,FALSE)</f>
        <v>Oberfläche:</v>
      </c>
      <c r="I80" s="149"/>
      <c r="J80" s="145" t="str">
        <f>VLOOKUP("Farbe:",Sprachindex!A:Z,Info!$O$6,FALSE)</f>
        <v>Farbe:</v>
      </c>
      <c r="K80" s="149"/>
      <c r="L80" s="137" t="str">
        <f t="shared" si="4"/>
        <v/>
      </c>
      <c r="M80" s="147"/>
      <c r="P80" s="11"/>
      <c r="Q80" s="11" t="str">
        <f>ROUNDUP(A80/60,0)*1 &amp; " " &amp; R80 &amp; "                         (" &amp;ROUNDUP(A80/60,0)*60&amp;" " &amp; B80 &amp; ")"</f>
        <v>0 Rolle                         (0 kg)</v>
      </c>
      <c r="R80" s="11" t="str">
        <f>IF(A80&gt;60, Formeln!A128, Formeln!A127)</f>
        <v>Rolle</v>
      </c>
      <c r="T80" s="202" t="s">
        <v>3552</v>
      </c>
      <c r="U80" s="202" t="s">
        <v>3553</v>
      </c>
      <c r="V80" s="202" t="s">
        <v>3554</v>
      </c>
      <c r="W80" s="202" t="s">
        <v>3555</v>
      </c>
      <c r="X80" s="202" t="s">
        <v>3556</v>
      </c>
      <c r="Y80" s="202" t="s">
        <v>3557</v>
      </c>
      <c r="Z80" s="202" t="s">
        <v>3558</v>
      </c>
      <c r="AA80" s="202" t="s">
        <v>3559</v>
      </c>
      <c r="AB80" s="202" t="s">
        <v>3560</v>
      </c>
      <c r="AC80" s="202" t="s">
        <v>3561</v>
      </c>
      <c r="AD80" s="202" t="s">
        <v>3758</v>
      </c>
      <c r="AE80" s="202" t="s">
        <v>3759</v>
      </c>
      <c r="AF80" s="202" t="s">
        <v>3760</v>
      </c>
      <c r="AG80" s="202" t="s">
        <v>3761</v>
      </c>
      <c r="AH80" s="202" t="s">
        <v>3762</v>
      </c>
      <c r="AI80" s="202" t="s">
        <v>3763</v>
      </c>
      <c r="AJ80" s="202" t="s">
        <v>3764</v>
      </c>
      <c r="AK80" s="202" t="s">
        <v>3765</v>
      </c>
      <c r="AL80" s="202" t="s">
        <v>3766</v>
      </c>
      <c r="AM80" s="202" t="s">
        <v>3562</v>
      </c>
    </row>
    <row r="81" spans="1:17" ht="32.1" customHeight="1">
      <c r="A81" s="164"/>
      <c r="B81" s="173"/>
      <c r="C81" s="173"/>
      <c r="D81" s="173"/>
      <c r="E81" s="304"/>
      <c r="F81" s="304"/>
      <c r="G81" s="304"/>
      <c r="H81" s="304"/>
      <c r="I81" s="304"/>
      <c r="J81" s="304"/>
      <c r="K81" s="304"/>
      <c r="L81" s="173"/>
      <c r="M81" s="174"/>
      <c r="P81" s="11"/>
      <c r="Q81" s="11" t="str">
        <f>ROUNDUP(A81/1,0)*1 &amp;" " &amp; VLOOKUP("Stk",Sprachindex!A:Z,Info!$O$6,FALSE)</f>
        <v>0 STK</v>
      </c>
    </row>
    <row r="82" spans="1:17" ht="32.1" customHeight="1">
      <c r="A82" s="164"/>
      <c r="B82" s="173"/>
      <c r="C82" s="173"/>
      <c r="D82" s="173"/>
      <c r="E82" s="304"/>
      <c r="F82" s="304"/>
      <c r="G82" s="304"/>
      <c r="H82" s="304"/>
      <c r="I82" s="304"/>
      <c r="J82" s="304"/>
      <c r="K82" s="304"/>
      <c r="L82" s="173"/>
      <c r="M82" s="174"/>
      <c r="P82" s="11"/>
      <c r="Q82" s="11" t="str">
        <f>ROUNDUP(A82/1,0)*1 &amp;" " &amp; VLOOKUP("Stk",Sprachindex!A:Z,Info!$O$6,FALSE)</f>
        <v>0 STK</v>
      </c>
    </row>
    <row r="83" spans="1:17" ht="32.1" customHeight="1" thickBot="1">
      <c r="A83" s="175"/>
      <c r="B83" s="176"/>
      <c r="C83" s="176"/>
      <c r="D83" s="176"/>
      <c r="E83" s="305"/>
      <c r="F83" s="305"/>
      <c r="G83" s="305"/>
      <c r="H83" s="305"/>
      <c r="I83" s="305"/>
      <c r="J83" s="305"/>
      <c r="K83" s="305"/>
      <c r="L83" s="176"/>
      <c r="M83" s="177"/>
      <c r="P83" s="11"/>
      <c r="Q83" s="11" t="str">
        <f>ROUNDUP(A83/1,0)*1 &amp;" " &amp; VLOOKUP("Stk",Sprachindex!A:Z,Info!$O$6,FALSE)</f>
        <v>0 STK</v>
      </c>
    </row>
    <row r="84" spans="1:17" ht="16.899999999999999">
      <c r="A84" s="123"/>
      <c r="B84" s="123"/>
      <c r="C84" s="123"/>
      <c r="D84" s="308"/>
      <c r="E84" s="308"/>
      <c r="F84" s="308"/>
      <c r="G84" s="308"/>
      <c r="H84" s="308"/>
      <c r="I84" s="308"/>
      <c r="J84" s="308"/>
      <c r="K84" s="308"/>
      <c r="L84" s="308"/>
      <c r="M84" s="308"/>
    </row>
    <row r="85" spans="1:17" ht="16.899999999999999">
      <c r="A85" s="123"/>
      <c r="B85" s="123"/>
      <c r="C85" s="153" t="str">
        <f>VLOOKUP("Zusatzvermerk:",Sprachindex!A:Z,Info!$O$6,FALSE)</f>
        <v>Zusatzvermerk:</v>
      </c>
      <c r="D85" s="307"/>
      <c r="E85" s="307"/>
      <c r="F85" s="307"/>
      <c r="G85" s="307"/>
      <c r="H85" s="307"/>
      <c r="I85" s="307"/>
      <c r="J85" s="307"/>
      <c r="K85" s="307"/>
      <c r="L85" s="307"/>
      <c r="M85" s="307"/>
    </row>
    <row r="86" spans="1:17" ht="16.899999999999999">
      <c r="A86" s="123"/>
      <c r="B86" s="123"/>
      <c r="C86" s="123"/>
      <c r="D86" s="306"/>
      <c r="E86" s="306"/>
      <c r="F86" s="306"/>
      <c r="G86" s="306"/>
      <c r="H86" s="306"/>
      <c r="I86" s="306"/>
      <c r="J86" s="306"/>
      <c r="K86" s="306"/>
      <c r="L86" s="306"/>
      <c r="M86" s="306"/>
    </row>
    <row r="87" spans="1:17" ht="16.899999999999999">
      <c r="A87" s="123"/>
      <c r="B87" s="123"/>
      <c r="C87" s="123"/>
      <c r="D87" s="307"/>
      <c r="E87" s="307"/>
      <c r="F87" s="307"/>
      <c r="G87" s="307"/>
      <c r="H87" s="307"/>
      <c r="I87" s="307"/>
      <c r="J87" s="307"/>
      <c r="K87" s="307"/>
      <c r="L87" s="307"/>
      <c r="M87" s="307"/>
    </row>
    <row r="88" spans="1:17" ht="16.899999999999999">
      <c r="A88" s="123"/>
      <c r="B88" s="123"/>
      <c r="C88" s="123"/>
      <c r="D88" s="306"/>
      <c r="E88" s="306"/>
      <c r="F88" s="306"/>
      <c r="G88" s="306"/>
      <c r="H88" s="306"/>
      <c r="I88" s="306"/>
      <c r="J88" s="306"/>
      <c r="K88" s="306"/>
      <c r="L88" s="306"/>
      <c r="M88" s="306"/>
    </row>
    <row r="89" spans="1:17" ht="16.899999999999999">
      <c r="A89" s="123"/>
      <c r="B89" s="123"/>
      <c r="C89" s="123"/>
      <c r="D89" s="307"/>
      <c r="E89" s="307"/>
      <c r="F89" s="307"/>
      <c r="G89" s="307"/>
      <c r="H89" s="307"/>
      <c r="I89" s="307"/>
      <c r="J89" s="307"/>
      <c r="K89" s="307"/>
      <c r="L89" s="307"/>
      <c r="M89" s="307"/>
    </row>
    <row r="90" spans="1:17" ht="13.5"/>
    <row r="91" spans="1:17" ht="13.5"/>
    <row r="92" spans="1:17" ht="16.899999999999999">
      <c r="A92" s="154" t="str">
        <f>VLOOKUP("Anwendungstechnik",Sprachindex!A:Z,Info!$O$6,FALSE)</f>
        <v>Anwendungstechnik</v>
      </c>
      <c r="B92" s="155"/>
      <c r="C92" s="155"/>
      <c r="D92" s="263"/>
      <c r="E92" s="263"/>
      <c r="F92" s="263"/>
      <c r="G92" s="263"/>
      <c r="H92" s="263"/>
      <c r="I92" s="263"/>
      <c r="J92" s="263"/>
      <c r="K92" s="156" t="str">
        <f>VLOOKUP("Stand:",Sprachindex!A:Z,Info!$O$6,FALSE)</f>
        <v>Stand:</v>
      </c>
      <c r="L92" s="281">
        <v>43182</v>
      </c>
      <c r="M92" s="282"/>
      <c r="Q92" s="12" t="str">
        <f>VLOOKUP("Vielen Dank für Ihre Bestellung",Sprachindex!A:Z,Info!$O$6,FALSE)</f>
        <v>Vielen Dank für Ihre Bestellung</v>
      </c>
    </row>
    <row r="93" spans="1:17" ht="13.5"/>
    <row r="94" spans="1:17" ht="13.5" hidden="1"/>
    <row r="95" spans="1:17" ht="13.5" hidden="1"/>
    <row r="96" spans="1:17" ht="13.5" hidden="1"/>
    <row r="97" ht="13.5" hidden="1"/>
    <row r="98" ht="13.5" hidden="1"/>
    <row r="99" ht="13.5" hidden="1"/>
    <row r="100" ht="13.5" hidden="1"/>
    <row r="101" ht="14.25" hidden="1" customHeight="1"/>
    <row r="102" ht="14.25" hidden="1" customHeight="1"/>
  </sheetData>
  <sheetProtection algorithmName="SHA-512" hashValue="tGAsAiAeOTWYCpSv4vfMC13FOdqwpHljzOGxInuomHjsdgtC01bnZxUAgsR9/uBzQqN94ka1N1orqSMETHilzw==" saltValue="Xisrft+RDJrM6Svh4mFlOg==" spinCount="100000" sheet="1" objects="1" scenarios="1" selectLockedCells="1" autoFilter="0"/>
  <protectedRanges>
    <protectedRange password="DEBF" sqref="Q25" name="darf vom Benutzer nicht verändert werden_1"/>
    <protectedRange password="DEBF" sqref="P25" name="darf vom Benutzer nicht verändert werden_1_5_2_1"/>
    <protectedRange password="DEBF" sqref="Q26" name="darf vom Benutzer nicht verändert werden_1_4"/>
    <protectedRange password="DEBF" sqref="P26" name="darf vom Benutzer nicht verändert werden_1_5_2_4"/>
    <protectedRange password="DEBF" sqref="P27:Q27" name="darf vom Benutzer nicht verändert werden_1_5_2_5"/>
    <protectedRange password="DEBF" sqref="P79:Q80" name="darf vom Benutzer nicht verändert werden_1_5"/>
    <protectedRange password="DEBF" sqref="P77" name="darf vom Benutzer nicht verändert werden_1_5_2_6"/>
    <protectedRange password="DEBF" sqref="R79:R80" name="darf vom Benutzer nicht verändert werden_1_12"/>
    <protectedRange password="DEBF" sqref="P28:Q40" name="darf vom Benutzer nicht verändert werden_1_5_3"/>
    <protectedRange password="DEBF" sqref="P41:Q52" name="darf vom Benutzer nicht verändert werden_1_5_4"/>
    <protectedRange password="DEBF" sqref="P53:Q59" name="darf vom Benutzer nicht verändert werden_1_5_5"/>
    <protectedRange password="DEBF" sqref="P60:Q76 Q77" name="darf vom Benutzer nicht verändert werden_1_5_7"/>
    <protectedRange password="DEBF" sqref="P78:Q78" name="darf vom Benutzer nicht verändert werden_1_5_9"/>
    <protectedRange password="DEBF" sqref="P81:Q83" name="darf vom Benutzer nicht verändert werden_1_5_10"/>
  </protectedRanges>
  <autoFilter ref="A22:A83"/>
  <mergeCells count="87">
    <mergeCell ref="C8:E8"/>
    <mergeCell ref="C17:E17"/>
    <mergeCell ref="C14:E14"/>
    <mergeCell ref="C13:E13"/>
    <mergeCell ref="C12:E12"/>
    <mergeCell ref="C9:E9"/>
    <mergeCell ref="D92:J92"/>
    <mergeCell ref="L92:M92"/>
    <mergeCell ref="C20:E20"/>
    <mergeCell ref="C19:E19"/>
    <mergeCell ref="C18:E18"/>
    <mergeCell ref="H27:K27"/>
    <mergeCell ref="E28:K28"/>
    <mergeCell ref="E29:G29"/>
    <mergeCell ref="H29:K29"/>
    <mergeCell ref="E40:K40"/>
    <mergeCell ref="E41:H41"/>
    <mergeCell ref="E42:H42"/>
    <mergeCell ref="J42:K42"/>
    <mergeCell ref="E36:K36"/>
    <mergeCell ref="E37:K37"/>
    <mergeCell ref="E38:G38"/>
    <mergeCell ref="E35:K35"/>
    <mergeCell ref="E26:G26"/>
    <mergeCell ref="H26:K26"/>
    <mergeCell ref="B22:F22"/>
    <mergeCell ref="E23:K23"/>
    <mergeCell ref="E24:K24"/>
    <mergeCell ref="E25:K25"/>
    <mergeCell ref="E30:K30"/>
    <mergeCell ref="E31:K31"/>
    <mergeCell ref="E32:K32"/>
    <mergeCell ref="E33:K33"/>
    <mergeCell ref="E34:K34"/>
    <mergeCell ref="E27:G27"/>
    <mergeCell ref="H38:K38"/>
    <mergeCell ref="E39:G39"/>
    <mergeCell ref="H39:K39"/>
    <mergeCell ref="E53:K53"/>
    <mergeCell ref="E43:H43"/>
    <mergeCell ref="J43:K43"/>
    <mergeCell ref="E44:K44"/>
    <mergeCell ref="E45:K45"/>
    <mergeCell ref="E46:K46"/>
    <mergeCell ref="E47:K47"/>
    <mergeCell ref="E48:K48"/>
    <mergeCell ref="E49:K49"/>
    <mergeCell ref="E50:K50"/>
    <mergeCell ref="E51:K51"/>
    <mergeCell ref="E52:K52"/>
    <mergeCell ref="E75:K75"/>
    <mergeCell ref="E76:K76"/>
    <mergeCell ref="E65:K65"/>
    <mergeCell ref="E54:K54"/>
    <mergeCell ref="E55:K55"/>
    <mergeCell ref="E56:K56"/>
    <mergeCell ref="E57:K57"/>
    <mergeCell ref="E58:K58"/>
    <mergeCell ref="E59:K59"/>
    <mergeCell ref="E60:K60"/>
    <mergeCell ref="E61:K61"/>
    <mergeCell ref="E62:K62"/>
    <mergeCell ref="E63:K63"/>
    <mergeCell ref="E64:K64"/>
    <mergeCell ref="E80:G80"/>
    <mergeCell ref="E81:K81"/>
    <mergeCell ref="E82:K82"/>
    <mergeCell ref="E83:K83"/>
    <mergeCell ref="D88:M89"/>
    <mergeCell ref="D86:M87"/>
    <mergeCell ref="D84:M85"/>
    <mergeCell ref="K6:M6"/>
    <mergeCell ref="K5:M5"/>
    <mergeCell ref="K4:M4"/>
    <mergeCell ref="E78:K78"/>
    <mergeCell ref="E79:H79"/>
    <mergeCell ref="I79:K79"/>
    <mergeCell ref="E77:K77"/>
    <mergeCell ref="E66:K66"/>
    <mergeCell ref="E67:K67"/>
    <mergeCell ref="E68:K68"/>
    <mergeCell ref="E69:K69"/>
    <mergeCell ref="E70:K70"/>
    <mergeCell ref="E71:K71"/>
    <mergeCell ref="E72:K72"/>
    <mergeCell ref="E73:K73"/>
    <mergeCell ref="E74:K74"/>
  </mergeCells>
  <conditionalFormatting sqref="C17:C20 C12:C14 C10:E10 C8:C9">
    <cfRule type="cellIs" dxfId="1431" priority="330" operator="equal">
      <formula>""</formula>
    </cfRule>
  </conditionalFormatting>
  <conditionalFormatting sqref="K4">
    <cfRule type="cellIs" dxfId="1430" priority="320" operator="equal">
      <formula>""</formula>
    </cfRule>
  </conditionalFormatting>
  <conditionalFormatting sqref="K5">
    <cfRule type="cellIs" dxfId="1429" priority="319" operator="equal">
      <formula>""</formula>
    </cfRule>
  </conditionalFormatting>
  <conditionalFormatting sqref="K6">
    <cfRule type="cellIs" dxfId="1428" priority="318" operator="equal">
      <formula>""</formula>
    </cfRule>
  </conditionalFormatting>
  <conditionalFormatting sqref="A24">
    <cfRule type="cellIs" dxfId="1427" priority="317" operator="equal">
      <formula>""</formula>
    </cfRule>
  </conditionalFormatting>
  <conditionalFormatting sqref="A25">
    <cfRule type="cellIs" dxfId="1426" priority="316" operator="equal">
      <formula>""</formula>
    </cfRule>
  </conditionalFormatting>
  <conditionalFormatting sqref="A26">
    <cfRule type="cellIs" dxfId="1425" priority="315" operator="equal">
      <formula>""</formula>
    </cfRule>
  </conditionalFormatting>
  <conditionalFormatting sqref="A27">
    <cfRule type="cellIs" dxfId="1424" priority="314" operator="equal">
      <formula>""</formula>
    </cfRule>
  </conditionalFormatting>
  <conditionalFormatting sqref="A28">
    <cfRule type="cellIs" dxfId="1423" priority="313" operator="equal">
      <formula>""</formula>
    </cfRule>
  </conditionalFormatting>
  <conditionalFormatting sqref="A29">
    <cfRule type="cellIs" dxfId="1422" priority="312" operator="equal">
      <formula>""</formula>
    </cfRule>
  </conditionalFormatting>
  <conditionalFormatting sqref="A30">
    <cfRule type="cellIs" dxfId="1421" priority="311" operator="equal">
      <formula>""</formula>
    </cfRule>
  </conditionalFormatting>
  <conditionalFormatting sqref="A31">
    <cfRule type="cellIs" dxfId="1420" priority="310" operator="equal">
      <formula>""</formula>
    </cfRule>
  </conditionalFormatting>
  <conditionalFormatting sqref="A32">
    <cfRule type="cellIs" dxfId="1419" priority="309" operator="equal">
      <formula>""</formula>
    </cfRule>
  </conditionalFormatting>
  <conditionalFormatting sqref="A33">
    <cfRule type="cellIs" dxfId="1418" priority="308" operator="equal">
      <formula>""</formula>
    </cfRule>
  </conditionalFormatting>
  <conditionalFormatting sqref="A34">
    <cfRule type="cellIs" dxfId="1417" priority="307" operator="equal">
      <formula>""</formula>
    </cfRule>
  </conditionalFormatting>
  <conditionalFormatting sqref="A35">
    <cfRule type="cellIs" dxfId="1416" priority="306" operator="equal">
      <formula>""</formula>
    </cfRule>
  </conditionalFormatting>
  <conditionalFormatting sqref="A36">
    <cfRule type="cellIs" dxfId="1415" priority="305" operator="equal">
      <formula>""</formula>
    </cfRule>
  </conditionalFormatting>
  <conditionalFormatting sqref="A37">
    <cfRule type="cellIs" dxfId="1414" priority="304" operator="equal">
      <formula>""</formula>
    </cfRule>
  </conditionalFormatting>
  <conditionalFormatting sqref="A38">
    <cfRule type="cellIs" dxfId="1413" priority="303" operator="equal">
      <formula>""</formula>
    </cfRule>
  </conditionalFormatting>
  <conditionalFormatting sqref="A39">
    <cfRule type="cellIs" dxfId="1412" priority="302" operator="equal">
      <formula>""</formula>
    </cfRule>
  </conditionalFormatting>
  <conditionalFormatting sqref="A40">
    <cfRule type="cellIs" dxfId="1411" priority="301" operator="equal">
      <formula>""</formula>
    </cfRule>
  </conditionalFormatting>
  <conditionalFormatting sqref="A41">
    <cfRule type="cellIs" dxfId="1410" priority="300" operator="equal">
      <formula>""</formula>
    </cfRule>
  </conditionalFormatting>
  <conditionalFormatting sqref="A42">
    <cfRule type="cellIs" dxfId="1409" priority="298" operator="equal">
      <formula>""</formula>
    </cfRule>
  </conditionalFormatting>
  <conditionalFormatting sqref="A43">
    <cfRule type="cellIs" dxfId="1408" priority="296" operator="equal">
      <formula>""</formula>
    </cfRule>
  </conditionalFormatting>
  <conditionalFormatting sqref="A44">
    <cfRule type="cellIs" dxfId="1407" priority="295" operator="equal">
      <formula>""</formula>
    </cfRule>
  </conditionalFormatting>
  <conditionalFormatting sqref="A45">
    <cfRule type="cellIs" dxfId="1406" priority="294" operator="equal">
      <formula>""</formula>
    </cfRule>
  </conditionalFormatting>
  <conditionalFormatting sqref="A46">
    <cfRule type="cellIs" dxfId="1405" priority="293" operator="equal">
      <formula>""</formula>
    </cfRule>
  </conditionalFormatting>
  <conditionalFormatting sqref="A47">
    <cfRule type="cellIs" dxfId="1404" priority="292" operator="equal">
      <formula>""</formula>
    </cfRule>
  </conditionalFormatting>
  <conditionalFormatting sqref="A48">
    <cfRule type="cellIs" dxfId="1403" priority="291" operator="equal">
      <formula>""</formula>
    </cfRule>
  </conditionalFormatting>
  <conditionalFormatting sqref="A49">
    <cfRule type="cellIs" dxfId="1402" priority="290" operator="equal">
      <formula>""</formula>
    </cfRule>
  </conditionalFormatting>
  <conditionalFormatting sqref="A50">
    <cfRule type="cellIs" dxfId="1401" priority="289" operator="equal">
      <formula>""</formula>
    </cfRule>
  </conditionalFormatting>
  <conditionalFormatting sqref="A51">
    <cfRule type="cellIs" dxfId="1400" priority="288" operator="equal">
      <formula>""</formula>
    </cfRule>
  </conditionalFormatting>
  <conditionalFormatting sqref="A52">
    <cfRule type="cellIs" dxfId="1399" priority="287" operator="equal">
      <formula>""</formula>
    </cfRule>
  </conditionalFormatting>
  <conditionalFormatting sqref="A53">
    <cfRule type="cellIs" dxfId="1398" priority="286" operator="equal">
      <formula>""</formula>
    </cfRule>
  </conditionalFormatting>
  <conditionalFormatting sqref="A54">
    <cfRule type="cellIs" dxfId="1397" priority="285" operator="equal">
      <formula>""</formula>
    </cfRule>
  </conditionalFormatting>
  <conditionalFormatting sqref="A55">
    <cfRule type="cellIs" dxfId="1396" priority="284" operator="equal">
      <formula>""</formula>
    </cfRule>
  </conditionalFormatting>
  <conditionalFormatting sqref="A56">
    <cfRule type="cellIs" dxfId="1395" priority="283" operator="equal">
      <formula>""</formula>
    </cfRule>
  </conditionalFormatting>
  <conditionalFormatting sqref="A57">
    <cfRule type="cellIs" dxfId="1394" priority="282" operator="equal">
      <formula>""</formula>
    </cfRule>
  </conditionalFormatting>
  <conditionalFormatting sqref="A58">
    <cfRule type="cellIs" dxfId="1393" priority="281" operator="equal">
      <formula>""</formula>
    </cfRule>
  </conditionalFormatting>
  <conditionalFormatting sqref="A59">
    <cfRule type="cellIs" dxfId="1392" priority="280" operator="equal">
      <formula>""</formula>
    </cfRule>
  </conditionalFormatting>
  <conditionalFormatting sqref="A60">
    <cfRule type="cellIs" dxfId="1391" priority="279" operator="equal">
      <formula>""</formula>
    </cfRule>
  </conditionalFormatting>
  <conditionalFormatting sqref="A61">
    <cfRule type="cellIs" dxfId="1390" priority="278" operator="equal">
      <formula>""</formula>
    </cfRule>
  </conditionalFormatting>
  <conditionalFormatting sqref="A62">
    <cfRule type="cellIs" dxfId="1389" priority="277" operator="equal">
      <formula>""</formula>
    </cfRule>
  </conditionalFormatting>
  <conditionalFormatting sqref="A63">
    <cfRule type="cellIs" dxfId="1388" priority="276" operator="equal">
      <formula>""</formula>
    </cfRule>
  </conditionalFormatting>
  <conditionalFormatting sqref="A64">
    <cfRule type="cellIs" dxfId="1387" priority="275" operator="equal">
      <formula>""</formula>
    </cfRule>
  </conditionalFormatting>
  <conditionalFormatting sqref="A65">
    <cfRule type="cellIs" dxfId="1386" priority="274" operator="equal">
      <formula>""</formula>
    </cfRule>
  </conditionalFormatting>
  <conditionalFormatting sqref="A66">
    <cfRule type="cellIs" dxfId="1385" priority="273" operator="equal">
      <formula>""</formula>
    </cfRule>
  </conditionalFormatting>
  <conditionalFormatting sqref="A67">
    <cfRule type="cellIs" dxfId="1384" priority="272" operator="equal">
      <formula>""</formula>
    </cfRule>
  </conditionalFormatting>
  <conditionalFormatting sqref="A68">
    <cfRule type="cellIs" dxfId="1383" priority="271" operator="equal">
      <formula>""</formula>
    </cfRule>
  </conditionalFormatting>
  <conditionalFormatting sqref="A69">
    <cfRule type="cellIs" dxfId="1382" priority="270" operator="equal">
      <formula>""</formula>
    </cfRule>
  </conditionalFormatting>
  <conditionalFormatting sqref="A70">
    <cfRule type="cellIs" dxfId="1381" priority="269" operator="equal">
      <formula>""</formula>
    </cfRule>
  </conditionalFormatting>
  <conditionalFormatting sqref="A71">
    <cfRule type="cellIs" dxfId="1380" priority="268" operator="equal">
      <formula>""</formula>
    </cfRule>
  </conditionalFormatting>
  <conditionalFormatting sqref="A72">
    <cfRule type="cellIs" dxfId="1379" priority="267" operator="equal">
      <formula>""</formula>
    </cfRule>
  </conditionalFormatting>
  <conditionalFormatting sqref="A73">
    <cfRule type="cellIs" dxfId="1378" priority="266" operator="equal">
      <formula>""</formula>
    </cfRule>
  </conditionalFormatting>
  <conditionalFormatting sqref="A74">
    <cfRule type="cellIs" dxfId="1377" priority="265" operator="equal">
      <formula>""</formula>
    </cfRule>
  </conditionalFormatting>
  <conditionalFormatting sqref="A75">
    <cfRule type="cellIs" dxfId="1376" priority="264" operator="equal">
      <formula>""</formula>
    </cfRule>
  </conditionalFormatting>
  <conditionalFormatting sqref="A76">
    <cfRule type="cellIs" dxfId="1375" priority="263" operator="equal">
      <formula>""</formula>
    </cfRule>
  </conditionalFormatting>
  <conditionalFormatting sqref="A77">
    <cfRule type="cellIs" dxfId="1374" priority="262" operator="equal">
      <formula>""</formula>
    </cfRule>
  </conditionalFormatting>
  <conditionalFormatting sqref="A78">
    <cfRule type="cellIs" dxfId="1373" priority="261" operator="equal">
      <formula>""</formula>
    </cfRule>
  </conditionalFormatting>
  <conditionalFormatting sqref="A79">
    <cfRule type="cellIs" dxfId="1372" priority="260" operator="equal">
      <formula>""</formula>
    </cfRule>
  </conditionalFormatting>
  <conditionalFormatting sqref="A80">
    <cfRule type="cellIs" dxfId="1371" priority="259" operator="equal">
      <formula>""</formula>
    </cfRule>
  </conditionalFormatting>
  <conditionalFormatting sqref="A81">
    <cfRule type="cellIs" dxfId="1370" priority="257" operator="equal">
      <formula>""</formula>
    </cfRule>
  </conditionalFormatting>
  <conditionalFormatting sqref="A82">
    <cfRule type="cellIs" dxfId="1369" priority="256" operator="equal">
      <formula>""</formula>
    </cfRule>
  </conditionalFormatting>
  <conditionalFormatting sqref="A83">
    <cfRule type="cellIs" dxfId="1368" priority="255" operator="equal">
      <formula>""</formula>
    </cfRule>
  </conditionalFormatting>
  <conditionalFormatting sqref="B83">
    <cfRule type="cellIs" dxfId="1367" priority="254" operator="equal">
      <formula>""</formula>
    </cfRule>
  </conditionalFormatting>
  <conditionalFormatting sqref="B82">
    <cfRule type="cellIs" dxfId="1366" priority="253" operator="equal">
      <formula>""</formula>
    </cfRule>
  </conditionalFormatting>
  <conditionalFormatting sqref="B81">
    <cfRule type="cellIs" dxfId="1365" priority="252" operator="equal">
      <formula>""</formula>
    </cfRule>
  </conditionalFormatting>
  <conditionalFormatting sqref="C81:D81">
    <cfRule type="cellIs" dxfId="1364" priority="251" operator="equal">
      <formula>""</formula>
    </cfRule>
  </conditionalFormatting>
  <conditionalFormatting sqref="C82:D82">
    <cfRule type="cellIs" dxfId="1363" priority="250" operator="equal">
      <formula>""</formula>
    </cfRule>
  </conditionalFormatting>
  <conditionalFormatting sqref="C83:D83">
    <cfRule type="cellIs" dxfId="1362" priority="249" operator="equal">
      <formula>""</formula>
    </cfRule>
  </conditionalFormatting>
  <conditionalFormatting sqref="E83">
    <cfRule type="cellIs" dxfId="1361" priority="248" operator="equal">
      <formula>""</formula>
    </cfRule>
  </conditionalFormatting>
  <conditionalFormatting sqref="E82">
    <cfRule type="cellIs" dxfId="1360" priority="247" operator="equal">
      <formula>""</formula>
    </cfRule>
  </conditionalFormatting>
  <conditionalFormatting sqref="E81">
    <cfRule type="cellIs" dxfId="1359" priority="246" operator="equal">
      <formula>""</formula>
    </cfRule>
  </conditionalFormatting>
  <conditionalFormatting sqref="L81">
    <cfRule type="cellIs" dxfId="1358" priority="245" operator="equal">
      <formula>""</formula>
    </cfRule>
  </conditionalFormatting>
  <conditionalFormatting sqref="M81">
    <cfRule type="cellIs" dxfId="1357" priority="244" operator="equal">
      <formula>""</formula>
    </cfRule>
  </conditionalFormatting>
  <conditionalFormatting sqref="M82">
    <cfRule type="cellIs" dxfId="1356" priority="243" operator="equal">
      <formula>""</formula>
    </cfRule>
  </conditionalFormatting>
  <conditionalFormatting sqref="M83">
    <cfRule type="cellIs" dxfId="1355" priority="242" operator="equal">
      <formula>""</formula>
    </cfRule>
  </conditionalFormatting>
  <conditionalFormatting sqref="L83">
    <cfRule type="cellIs" dxfId="1354" priority="241" operator="equal">
      <formula>""</formula>
    </cfRule>
  </conditionalFormatting>
  <conditionalFormatting sqref="L82">
    <cfRule type="cellIs" dxfId="1353" priority="240" operator="equal">
      <formula>""</formula>
    </cfRule>
  </conditionalFormatting>
  <conditionalFormatting sqref="T38">
    <cfRule type="duplicateValues" dxfId="1352" priority="190"/>
  </conditionalFormatting>
  <conditionalFormatting sqref="Y38">
    <cfRule type="duplicateValues" dxfId="1351" priority="189"/>
  </conditionalFormatting>
  <conditionalFormatting sqref="V38">
    <cfRule type="duplicateValues" dxfId="1350" priority="188"/>
  </conditionalFormatting>
  <conditionalFormatting sqref="U38">
    <cfRule type="duplicateValues" dxfId="1349" priority="187"/>
  </conditionalFormatting>
  <conditionalFormatting sqref="AA38">
    <cfRule type="duplicateValues" dxfId="1348" priority="186"/>
  </conditionalFormatting>
  <conditionalFormatting sqref="Z38">
    <cfRule type="duplicateValues" dxfId="1347" priority="185"/>
  </conditionalFormatting>
  <conditionalFormatting sqref="W38">
    <cfRule type="duplicateValues" dxfId="1346" priority="184"/>
  </conditionalFormatting>
  <conditionalFormatting sqref="AC38">
    <cfRule type="duplicateValues" dxfId="1345" priority="183"/>
  </conditionalFormatting>
  <conditionalFormatting sqref="AC24">
    <cfRule type="duplicateValues" dxfId="1344" priority="182"/>
  </conditionalFormatting>
  <conditionalFormatting sqref="AM24">
    <cfRule type="duplicateValues" dxfId="1343" priority="181"/>
  </conditionalFormatting>
  <conditionalFormatting sqref="T24:AB24">
    <cfRule type="duplicateValues" dxfId="1342" priority="180"/>
  </conditionalFormatting>
  <conditionalFormatting sqref="AD24:AL24">
    <cfRule type="duplicateValues" dxfId="1341" priority="179"/>
  </conditionalFormatting>
  <conditionalFormatting sqref="Y28:AC28 T28:W28">
    <cfRule type="duplicateValues" dxfId="1340" priority="178"/>
  </conditionalFormatting>
  <conditionalFormatting sqref="T31:AB31 AD31:AL31">
    <cfRule type="duplicateValues" dxfId="1339" priority="171"/>
  </conditionalFormatting>
  <conditionalFormatting sqref="AC31">
    <cfRule type="duplicateValues" dxfId="1338" priority="170"/>
  </conditionalFormatting>
  <conditionalFormatting sqref="AD32:AL32 T32:AB32">
    <cfRule type="duplicateValues" dxfId="1337" priority="172"/>
  </conditionalFormatting>
  <conditionalFormatting sqref="T33:AL33">
    <cfRule type="duplicateValues" dxfId="1336" priority="173"/>
  </conditionalFormatting>
  <conditionalFormatting sqref="T34:AM34">
    <cfRule type="duplicateValues" dxfId="1335" priority="174"/>
  </conditionalFormatting>
  <conditionalFormatting sqref="AD36:AM36">
    <cfRule type="duplicateValues" dxfId="1334" priority="166"/>
  </conditionalFormatting>
  <conditionalFormatting sqref="T36:AC36">
    <cfRule type="duplicateValues" dxfId="1333" priority="176"/>
  </conditionalFormatting>
  <conditionalFormatting sqref="AD37:AL37">
    <cfRule type="duplicateValues" dxfId="1332" priority="165"/>
  </conditionalFormatting>
  <conditionalFormatting sqref="AC37">
    <cfRule type="duplicateValues" dxfId="1331" priority="164"/>
  </conditionalFormatting>
  <conditionalFormatting sqref="AM37">
    <cfRule type="duplicateValues" dxfId="1330" priority="163"/>
  </conditionalFormatting>
  <conditionalFormatting sqref="T37:AB37">
    <cfRule type="duplicateValues" dxfId="1329" priority="177"/>
  </conditionalFormatting>
  <conditionalFormatting sqref="T39">
    <cfRule type="duplicateValues" dxfId="1328" priority="162"/>
  </conditionalFormatting>
  <conditionalFormatting sqref="W39">
    <cfRule type="duplicateValues" dxfId="1327" priority="161"/>
  </conditionalFormatting>
  <conditionalFormatting sqref="V39">
    <cfRule type="duplicateValues" dxfId="1326" priority="160"/>
  </conditionalFormatting>
  <conditionalFormatting sqref="U39">
    <cfRule type="duplicateValues" dxfId="1325" priority="159"/>
  </conditionalFormatting>
  <conditionalFormatting sqref="Y39">
    <cfRule type="duplicateValues" dxfId="1324" priority="158"/>
  </conditionalFormatting>
  <conditionalFormatting sqref="AA39">
    <cfRule type="duplicateValues" dxfId="1323" priority="157"/>
  </conditionalFormatting>
  <conditionalFormatting sqref="Z39">
    <cfRule type="duplicateValues" dxfId="1322" priority="156"/>
  </conditionalFormatting>
  <conditionalFormatting sqref="AC39">
    <cfRule type="duplicateValues" dxfId="1321" priority="155"/>
  </conditionalFormatting>
  <conditionalFormatting sqref="T40">
    <cfRule type="duplicateValues" dxfId="1320" priority="154"/>
  </conditionalFormatting>
  <conditionalFormatting sqref="U40">
    <cfRule type="duplicateValues" dxfId="1319" priority="153"/>
  </conditionalFormatting>
  <conditionalFormatting sqref="V40">
    <cfRule type="duplicateValues" dxfId="1318" priority="152"/>
  </conditionalFormatting>
  <conditionalFormatting sqref="W40">
    <cfRule type="duplicateValues" dxfId="1317" priority="151"/>
  </conditionalFormatting>
  <conditionalFormatting sqref="X40">
    <cfRule type="duplicateValues" dxfId="1316" priority="150"/>
  </conditionalFormatting>
  <conditionalFormatting sqref="Y40">
    <cfRule type="duplicateValues" dxfId="1315" priority="149"/>
  </conditionalFormatting>
  <conditionalFormatting sqref="Z40">
    <cfRule type="duplicateValues" dxfId="1314" priority="148"/>
  </conditionalFormatting>
  <conditionalFormatting sqref="AA40">
    <cfRule type="duplicateValues" dxfId="1313" priority="147"/>
  </conditionalFormatting>
  <conditionalFormatting sqref="AB40">
    <cfRule type="duplicateValues" dxfId="1312" priority="146"/>
  </conditionalFormatting>
  <conditionalFormatting sqref="AC40">
    <cfRule type="duplicateValues" dxfId="1311" priority="145"/>
  </conditionalFormatting>
  <conditionalFormatting sqref="D41">
    <cfRule type="duplicateValues" dxfId="1310" priority="144"/>
  </conditionalFormatting>
  <conditionalFormatting sqref="AD42:AL42">
    <cfRule type="duplicateValues" dxfId="1309" priority="140"/>
  </conditionalFormatting>
  <conditionalFormatting sqref="T42:AB42">
    <cfRule type="duplicateValues" dxfId="1308" priority="141"/>
  </conditionalFormatting>
  <conditionalFormatting sqref="AX42:BF42">
    <cfRule type="duplicateValues" dxfId="1307" priority="138"/>
  </conditionalFormatting>
  <conditionalFormatting sqref="AN42:AV42">
    <cfRule type="duplicateValues" dxfId="1306" priority="139"/>
  </conditionalFormatting>
  <conditionalFormatting sqref="BR42:BZ42">
    <cfRule type="duplicateValues" dxfId="1305" priority="136"/>
  </conditionalFormatting>
  <conditionalFormatting sqref="BI42:BP42">
    <cfRule type="duplicateValues" dxfId="1304" priority="137"/>
  </conditionalFormatting>
  <conditionalFormatting sqref="CC42:CJ42">
    <cfRule type="duplicateValues" dxfId="1303" priority="142"/>
  </conditionalFormatting>
  <conditionalFormatting sqref="CL42:CT42">
    <cfRule type="duplicateValues" dxfId="1302" priority="143"/>
  </conditionalFormatting>
  <conditionalFormatting sqref="CW42:DD42">
    <cfRule type="duplicateValues" dxfId="1301" priority="134"/>
  </conditionalFormatting>
  <conditionalFormatting sqref="DF42:DN42">
    <cfRule type="duplicateValues" dxfId="1300" priority="135"/>
  </conditionalFormatting>
  <conditionalFormatting sqref="DQ42:DX42">
    <cfRule type="duplicateValues" dxfId="1299" priority="133"/>
  </conditionalFormatting>
  <conditionalFormatting sqref="DZ42:EH42">
    <cfRule type="duplicateValues" dxfId="1298" priority="132"/>
  </conditionalFormatting>
  <conditionalFormatting sqref="EK42:ER42">
    <cfRule type="duplicateValues" dxfId="1297" priority="131"/>
  </conditionalFormatting>
  <conditionalFormatting sqref="ET42:FB42">
    <cfRule type="duplicateValues" dxfId="1296" priority="130"/>
  </conditionalFormatting>
  <conditionalFormatting sqref="FE42:FL42">
    <cfRule type="duplicateValues" dxfId="1295" priority="129"/>
  </conditionalFormatting>
  <conditionalFormatting sqref="FN42:FV42">
    <cfRule type="duplicateValues" dxfId="1294" priority="128"/>
  </conditionalFormatting>
  <conditionalFormatting sqref="FY42:GF42">
    <cfRule type="duplicateValues" dxfId="1293" priority="127"/>
  </conditionalFormatting>
  <conditionalFormatting sqref="GH42:GP42">
    <cfRule type="duplicateValues" dxfId="1292" priority="126"/>
  </conditionalFormatting>
  <conditionalFormatting sqref="GS42:GZ42">
    <cfRule type="duplicateValues" dxfId="1291" priority="125"/>
  </conditionalFormatting>
  <conditionalFormatting sqref="HB42:HJ42">
    <cfRule type="duplicateValues" dxfId="1290" priority="124"/>
  </conditionalFormatting>
  <conditionalFormatting sqref="HM42:HT42">
    <cfRule type="duplicateValues" dxfId="1289" priority="123"/>
  </conditionalFormatting>
  <conditionalFormatting sqref="HV42:ID42">
    <cfRule type="duplicateValues" dxfId="1288" priority="122"/>
  </conditionalFormatting>
  <conditionalFormatting sqref="IG42:IN42">
    <cfRule type="duplicateValues" dxfId="1287" priority="121"/>
  </conditionalFormatting>
  <conditionalFormatting sqref="IP42:IX42">
    <cfRule type="duplicateValues" dxfId="1286" priority="120"/>
  </conditionalFormatting>
  <conditionalFormatting sqref="JA42:JH42">
    <cfRule type="duplicateValues" dxfId="1285" priority="119"/>
  </conditionalFormatting>
  <conditionalFormatting sqref="JJ42:JR42">
    <cfRule type="duplicateValues" dxfId="1284" priority="118"/>
  </conditionalFormatting>
  <conditionalFormatting sqref="JU42:KB42">
    <cfRule type="duplicateValues" dxfId="1283" priority="117"/>
  </conditionalFormatting>
  <conditionalFormatting sqref="KD42:KL42">
    <cfRule type="duplicateValues" dxfId="1282" priority="116"/>
  </conditionalFormatting>
  <conditionalFormatting sqref="KX42:LF42">
    <cfRule type="duplicateValues" dxfId="1281" priority="115"/>
  </conditionalFormatting>
  <conditionalFormatting sqref="KO42:KV42">
    <cfRule type="duplicateValues" dxfId="1280" priority="114"/>
  </conditionalFormatting>
  <conditionalFormatting sqref="LI42:LP42">
    <cfRule type="duplicateValues" dxfId="1279" priority="113"/>
  </conditionalFormatting>
  <conditionalFormatting sqref="LR42:LZ42">
    <cfRule type="duplicateValues" dxfId="1278" priority="112"/>
  </conditionalFormatting>
  <conditionalFormatting sqref="MC42:MJ42">
    <cfRule type="duplicateValues" dxfId="1277" priority="111"/>
  </conditionalFormatting>
  <conditionalFormatting sqref="ML42:MT42">
    <cfRule type="duplicateValues" dxfId="1276" priority="110"/>
  </conditionalFormatting>
  <conditionalFormatting sqref="MW42:ND42">
    <cfRule type="duplicateValues" dxfId="1275" priority="109"/>
  </conditionalFormatting>
  <conditionalFormatting sqref="NF42:NN42">
    <cfRule type="duplicateValues" dxfId="1274" priority="108"/>
  </conditionalFormatting>
  <conditionalFormatting sqref="NQ42:NX42">
    <cfRule type="duplicateValues" dxfId="1273" priority="107"/>
  </conditionalFormatting>
  <conditionalFormatting sqref="NZ42:OH42">
    <cfRule type="duplicateValues" dxfId="1272" priority="106"/>
  </conditionalFormatting>
  <conditionalFormatting sqref="OK42:OR42">
    <cfRule type="duplicateValues" dxfId="1271" priority="105"/>
  </conditionalFormatting>
  <conditionalFormatting sqref="OT42:PB42">
    <cfRule type="duplicateValues" dxfId="1270" priority="104"/>
  </conditionalFormatting>
  <conditionalFormatting sqref="PE42:PL42">
    <cfRule type="duplicateValues" dxfId="1269" priority="103"/>
  </conditionalFormatting>
  <conditionalFormatting sqref="PN42:PV42">
    <cfRule type="duplicateValues" dxfId="1268" priority="102"/>
  </conditionalFormatting>
  <conditionalFormatting sqref="AD43:AL43 T43:AB43">
    <cfRule type="duplicateValues" dxfId="1267" priority="101"/>
  </conditionalFormatting>
  <conditionalFormatting sqref="BH42">
    <cfRule type="duplicateValues" dxfId="1266" priority="100"/>
  </conditionalFormatting>
  <conditionalFormatting sqref="CB42">
    <cfRule type="duplicateValues" dxfId="1265" priority="99"/>
  </conditionalFormatting>
  <conditionalFormatting sqref="CV42">
    <cfRule type="duplicateValues" dxfId="1264" priority="98"/>
  </conditionalFormatting>
  <conditionalFormatting sqref="DP42">
    <cfRule type="duplicateValues" dxfId="1263" priority="97"/>
  </conditionalFormatting>
  <conditionalFormatting sqref="EJ42">
    <cfRule type="duplicateValues" dxfId="1262" priority="96"/>
  </conditionalFormatting>
  <conditionalFormatting sqref="FD42">
    <cfRule type="duplicateValues" dxfId="1261" priority="95"/>
  </conditionalFormatting>
  <conditionalFormatting sqref="FX42">
    <cfRule type="duplicateValues" dxfId="1260" priority="94"/>
  </conditionalFormatting>
  <conditionalFormatting sqref="GR42">
    <cfRule type="duplicateValues" dxfId="1259" priority="93"/>
  </conditionalFormatting>
  <conditionalFormatting sqref="HL42">
    <cfRule type="duplicateValues" dxfId="1258" priority="92"/>
  </conditionalFormatting>
  <conditionalFormatting sqref="IF42">
    <cfRule type="duplicateValues" dxfId="1257" priority="91"/>
  </conditionalFormatting>
  <conditionalFormatting sqref="IZ42">
    <cfRule type="duplicateValues" dxfId="1256" priority="90"/>
  </conditionalFormatting>
  <conditionalFormatting sqref="JT42">
    <cfRule type="duplicateValues" dxfId="1255" priority="89"/>
  </conditionalFormatting>
  <conditionalFormatting sqref="KN42">
    <cfRule type="duplicateValues" dxfId="1254" priority="88"/>
  </conditionalFormatting>
  <conditionalFormatting sqref="LH42">
    <cfRule type="duplicateValues" dxfId="1253" priority="87"/>
  </conditionalFormatting>
  <conditionalFormatting sqref="MB42">
    <cfRule type="duplicateValues" dxfId="1252" priority="86"/>
  </conditionalFormatting>
  <conditionalFormatting sqref="MV42">
    <cfRule type="duplicateValues" dxfId="1251" priority="85"/>
  </conditionalFormatting>
  <conditionalFormatting sqref="NP42">
    <cfRule type="duplicateValues" dxfId="1250" priority="84"/>
  </conditionalFormatting>
  <conditionalFormatting sqref="OJ42">
    <cfRule type="duplicateValues" dxfId="1249" priority="83"/>
  </conditionalFormatting>
  <conditionalFormatting sqref="PD42">
    <cfRule type="duplicateValues" dxfId="1248" priority="82"/>
  </conditionalFormatting>
  <conditionalFormatting sqref="AX43:BF43 AN43:AV43">
    <cfRule type="duplicateValues" dxfId="1247" priority="81"/>
  </conditionalFormatting>
  <conditionalFormatting sqref="BR43:BZ43 BH43:BP43">
    <cfRule type="duplicateValues" dxfId="1246" priority="80"/>
  </conditionalFormatting>
  <conditionalFormatting sqref="CL43:CT43 CB43:CJ43">
    <cfRule type="duplicateValues" dxfId="1245" priority="79"/>
  </conditionalFormatting>
  <conditionalFormatting sqref="DF43:DN43 CV43:DD43">
    <cfRule type="duplicateValues" dxfId="1244" priority="78"/>
  </conditionalFormatting>
  <conditionalFormatting sqref="DZ43:EH43 DP43:DX43">
    <cfRule type="duplicateValues" dxfId="1243" priority="77"/>
  </conditionalFormatting>
  <conditionalFormatting sqref="ET43:FB43 EJ43:ER43">
    <cfRule type="duplicateValues" dxfId="1242" priority="76"/>
  </conditionalFormatting>
  <conditionalFormatting sqref="D50">
    <cfRule type="duplicateValues" dxfId="1241" priority="75"/>
  </conditionalFormatting>
  <conditionalFormatting sqref="T44:AC44">
    <cfRule type="duplicateValues" dxfId="1240" priority="74"/>
  </conditionalFormatting>
  <conditionalFormatting sqref="T45:AC45">
    <cfRule type="duplicateValues" dxfId="1239" priority="73"/>
  </conditionalFormatting>
  <conditionalFormatting sqref="T46:AC46">
    <cfRule type="duplicateValues" dxfId="1238" priority="72"/>
  </conditionalFormatting>
  <conditionalFormatting sqref="T47:AB47">
    <cfRule type="duplicateValues" dxfId="1237" priority="71"/>
  </conditionalFormatting>
  <conditionalFormatting sqref="AC47">
    <cfRule type="duplicateValues" dxfId="1236" priority="70"/>
  </conditionalFormatting>
  <conditionalFormatting sqref="T48:AB48">
    <cfRule type="duplicateValues" dxfId="1235" priority="69"/>
  </conditionalFormatting>
  <conditionalFormatting sqref="AC48">
    <cfRule type="duplicateValues" dxfId="1234" priority="68"/>
  </conditionalFormatting>
  <conditionalFormatting sqref="T49:AB49">
    <cfRule type="duplicateValues" dxfId="1233" priority="67"/>
  </conditionalFormatting>
  <conditionalFormatting sqref="AC49">
    <cfRule type="duplicateValues" dxfId="1232" priority="66"/>
  </conditionalFormatting>
  <conditionalFormatting sqref="T52:AC52">
    <cfRule type="duplicateValues" dxfId="1231" priority="65"/>
  </conditionalFormatting>
  <conditionalFormatting sqref="D58">
    <cfRule type="duplicateValues" dxfId="1230" priority="64"/>
  </conditionalFormatting>
  <conditionalFormatting sqref="T54:AC54">
    <cfRule type="duplicateValues" dxfId="1229" priority="63"/>
  </conditionalFormatting>
  <conditionalFormatting sqref="T55:AC55">
    <cfRule type="duplicateValues" dxfId="1228" priority="62"/>
  </conditionalFormatting>
  <conditionalFormatting sqref="T56:AB56">
    <cfRule type="duplicateValues" dxfId="1227" priority="61"/>
  </conditionalFormatting>
  <conditionalFormatting sqref="AC56">
    <cfRule type="duplicateValues" dxfId="1226" priority="60"/>
  </conditionalFormatting>
  <conditionalFormatting sqref="AC57">
    <cfRule type="duplicateValues" dxfId="1225" priority="59"/>
  </conditionalFormatting>
  <conditionalFormatting sqref="T57:AB57">
    <cfRule type="duplicateValues" dxfId="1224" priority="58"/>
  </conditionalFormatting>
  <conditionalFormatting sqref="T59:AB59">
    <cfRule type="duplicateValues" dxfId="1223" priority="57"/>
  </conditionalFormatting>
  <conditionalFormatting sqref="AD59:AL59">
    <cfRule type="duplicateValues" dxfId="1222" priority="56"/>
  </conditionalFormatting>
  <conditionalFormatting sqref="T61:AC61">
    <cfRule type="duplicateValues" dxfId="1221" priority="51"/>
  </conditionalFormatting>
  <conditionalFormatting sqref="T64:AC64">
    <cfRule type="duplicateValues" dxfId="1220" priority="50"/>
  </conditionalFormatting>
  <conditionalFormatting sqref="T62:AC62">
    <cfRule type="duplicateValues" dxfId="1219" priority="52"/>
  </conditionalFormatting>
  <conditionalFormatting sqref="T63:AC63">
    <cfRule type="duplicateValues" dxfId="1218" priority="53"/>
  </conditionalFormatting>
  <conditionalFormatting sqref="T65:AB65">
    <cfRule type="duplicateValues" dxfId="1217" priority="54"/>
  </conditionalFormatting>
  <conditionalFormatting sqref="T66:AB66">
    <cfRule type="duplicateValues" dxfId="1216" priority="49"/>
  </conditionalFormatting>
  <conditionalFormatting sqref="AC66">
    <cfRule type="duplicateValues" dxfId="1215" priority="48"/>
  </conditionalFormatting>
  <conditionalFormatting sqref="T67:AC67">
    <cfRule type="duplicateValues" dxfId="1214" priority="47"/>
  </conditionalFormatting>
  <conditionalFormatting sqref="U68:AC68">
    <cfRule type="duplicateValues" dxfId="1213" priority="46"/>
  </conditionalFormatting>
  <conditionalFormatting sqref="T68">
    <cfRule type="duplicateValues" dxfId="1212" priority="45"/>
  </conditionalFormatting>
  <conditionalFormatting sqref="T69:AB69">
    <cfRule type="duplicateValues" dxfId="1211" priority="44"/>
  </conditionalFormatting>
  <conditionalFormatting sqref="T70:AB70">
    <cfRule type="duplicateValues" dxfId="1210" priority="43"/>
  </conditionalFormatting>
  <conditionalFormatting sqref="T71:AB71">
    <cfRule type="duplicateValues" dxfId="1209" priority="42"/>
  </conditionalFormatting>
  <conditionalFormatting sqref="T72:AB72">
    <cfRule type="duplicateValues" dxfId="1208" priority="41"/>
  </conditionalFormatting>
  <conditionalFormatting sqref="T73:AB73">
    <cfRule type="duplicateValues" dxfId="1207" priority="40"/>
  </conditionalFormatting>
  <conditionalFormatting sqref="AC69">
    <cfRule type="duplicateValues" dxfId="1206" priority="39"/>
  </conditionalFormatting>
  <conditionalFormatting sqref="AC70">
    <cfRule type="duplicateValues" dxfId="1205" priority="38"/>
  </conditionalFormatting>
  <conditionalFormatting sqref="AC71">
    <cfRule type="duplicateValues" dxfId="1204" priority="37"/>
  </conditionalFormatting>
  <conditionalFormatting sqref="AC72">
    <cfRule type="duplicateValues" dxfId="1203" priority="36"/>
  </conditionalFormatting>
  <conditionalFormatting sqref="AC73">
    <cfRule type="duplicateValues" dxfId="1202" priority="35"/>
  </conditionalFormatting>
  <conditionalFormatting sqref="T75:AB75">
    <cfRule type="duplicateValues" dxfId="1201" priority="34"/>
  </conditionalFormatting>
  <conditionalFormatting sqref="AC75">
    <cfRule type="duplicateValues" dxfId="1200" priority="33"/>
  </conditionalFormatting>
  <conditionalFormatting sqref="T74:AC74">
    <cfRule type="duplicateValues" dxfId="1199" priority="55"/>
  </conditionalFormatting>
  <conditionalFormatting sqref="T79:X79">
    <cfRule type="duplicateValues" dxfId="1198" priority="31"/>
  </conditionalFormatting>
  <conditionalFormatting sqref="T53:AB53">
    <cfRule type="duplicateValues" dxfId="1197" priority="23"/>
  </conditionalFormatting>
  <conditionalFormatting sqref="AC53">
    <cfRule type="duplicateValues" dxfId="1196" priority="22"/>
  </conditionalFormatting>
  <conditionalFormatting sqref="D51">
    <cfRule type="duplicateValues" dxfId="1195" priority="21"/>
  </conditionalFormatting>
  <conditionalFormatting sqref="T76:AB76">
    <cfRule type="duplicateValues" dxfId="1194" priority="20"/>
  </conditionalFormatting>
  <conditionalFormatting sqref="AC76">
    <cfRule type="duplicateValues" dxfId="1193" priority="19"/>
  </conditionalFormatting>
  <conditionalFormatting sqref="J20:K20">
    <cfRule type="expression" dxfId="1192" priority="633">
      <formula>$N$20=10</formula>
    </cfRule>
  </conditionalFormatting>
  <conditionalFormatting sqref="J21 I20">
    <cfRule type="expression" dxfId="1191" priority="634">
      <formula>$N$20=10</formula>
    </cfRule>
  </conditionalFormatting>
  <conditionalFormatting sqref="AC60">
    <cfRule type="duplicateValues" dxfId="1190" priority="15"/>
  </conditionalFormatting>
  <conditionalFormatting sqref="T60:AB60">
    <cfRule type="duplicateValues" dxfId="1189" priority="14"/>
  </conditionalFormatting>
  <conditionalFormatting sqref="T35:AC35">
    <cfRule type="duplicateValues" dxfId="1188" priority="13"/>
  </conditionalFormatting>
  <conditionalFormatting sqref="AM35">
    <cfRule type="duplicateValues" dxfId="1187" priority="12"/>
  </conditionalFormatting>
  <conditionalFormatting sqref="AD35:AL35">
    <cfRule type="duplicateValues" dxfId="1186" priority="11"/>
  </conditionalFormatting>
  <conditionalFormatting sqref="T80:AC80">
    <cfRule type="duplicateValues" dxfId="1185" priority="8"/>
  </conditionalFormatting>
  <conditionalFormatting sqref="AD80:AG80">
    <cfRule type="duplicateValues" dxfId="1184" priority="6"/>
  </conditionalFormatting>
  <conditionalFormatting sqref="AH80:AM80">
    <cfRule type="duplicateValues" dxfId="1183" priority="5"/>
  </conditionalFormatting>
  <conditionalFormatting sqref="I12">
    <cfRule type="expression" dxfId="1182" priority="1">
      <formula>$N$12=2</formula>
    </cfRule>
    <cfRule type="expression" dxfId="1181" priority="4">
      <formula>$N$12=1</formula>
    </cfRule>
  </conditionalFormatting>
  <conditionalFormatting sqref="L12">
    <cfRule type="expression" dxfId="1180" priority="2">
      <formula>$N$12=1</formula>
    </cfRule>
    <cfRule type="expression" dxfId="1179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6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5" shapeId="15388" r:id="rId4">
          <objectPr defaultSize="0" autoPict="0" r:id="rId5">
            <anchor moveWithCells="1" sizeWithCells="1">
              <from>
                <xdr:col>2</xdr:col>
                <xdr:colOff>200025</xdr:colOff>
                <xdr:row>52</xdr:row>
                <xdr:rowOff>57150</xdr:rowOff>
              </from>
              <to>
                <xdr:col>2</xdr:col>
                <xdr:colOff>609600</xdr:colOff>
                <xdr:row>52</xdr:row>
                <xdr:rowOff>361950</xdr:rowOff>
              </to>
            </anchor>
          </objectPr>
        </oleObject>
      </mc:Choice>
      <mc:Fallback>
        <oleObject progId="CorelDraw.Graphic.15" shapeId="15388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6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342900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7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342900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8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0" r:id="rId9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1" r:id="rId10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2" r:id="rId11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3" r:id="rId12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14</xdr:row>
                    <xdr:rowOff>19050</xdr:rowOff>
                  </from>
                  <to>
                    <xdr:col>10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4" r:id="rId13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5" r:id="rId14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6" r:id="rId15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7" r:id="rId16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8" r:id="rId17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342900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4" r:id="rId18" name="Option Button 24">
              <controlPr defaultSize="0" autoFill="0" autoLine="0" autoPict="0">
                <anchor moveWithCells="1">
                  <from>
                    <xdr:col>7</xdr:col>
                    <xdr:colOff>676275</xdr:colOff>
                    <xdr:row>7</xdr:row>
                    <xdr:rowOff>9525</xdr:rowOff>
                  </from>
                  <to>
                    <xdr:col>8</xdr:col>
                    <xdr:colOff>457200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5" r:id="rId19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7" r:id="rId20" name="Option Button 27">
              <controlPr defaultSize="0" autoFill="0" autoLine="0" autoPict="0" altText="">
                <anchor moveWithCells="1">
                  <from>
                    <xdr:col>12</xdr:col>
                    <xdr:colOff>95250</xdr:colOff>
                    <xdr:row>13</xdr:row>
                    <xdr:rowOff>123825</xdr:rowOff>
                  </from>
                  <to>
                    <xdr:col>12</xdr:col>
                    <xdr:colOff>142875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9" r:id="rId21" name="Option Button 2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0" r:id="rId22" name="Option Button 30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1" r:id="rId23" name="Option Button 31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4" id="{C6B04C39-62C4-44E1-A8A3-6E8A8EF01400}">
            <xm:f>$H$26=Formeln!$A$1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H26:K26</xm:sqref>
        </x14:conditionalFormatting>
        <x14:conditionalFormatting xmlns:xm="http://schemas.microsoft.com/office/excel/2006/main">
          <x14:cfRule type="expression" priority="203" id="{811D8A53-6EB1-48C6-9C9B-2D6956F3D007}">
            <xm:f>$H$29=Formeln!$A$1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H29:K29</xm:sqref>
        </x14:conditionalFormatting>
        <x14:conditionalFormatting xmlns:xm="http://schemas.microsoft.com/office/excel/2006/main">
          <x14:cfRule type="expression" priority="202" id="{BCCC9902-11B2-4F0D-91A6-75B21B4C2D28}">
            <xm:f>$H$27=Formeln!$A$1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H27:K27</xm:sqref>
        </x14:conditionalFormatting>
        <x14:conditionalFormatting xmlns:xm="http://schemas.microsoft.com/office/excel/2006/main">
          <x14:cfRule type="expression" priority="201" id="{380D4B02-13CE-4859-83D2-EBF97A0A0B9B}">
            <xm:f>$H$38=Formeln!$A$1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H38:K38</xm:sqref>
        </x14:conditionalFormatting>
        <x14:conditionalFormatting xmlns:xm="http://schemas.microsoft.com/office/excel/2006/main">
          <x14:cfRule type="expression" priority="200" id="{F08EC1F6-AFD7-4BBC-B9AC-E8656D6B7403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198" id="{73328EF9-C9EF-43FE-9B8B-30A8DA836578}">
            <xm:f>$J$42=Formeln!$A$1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J42:K42</xm:sqref>
        </x14:conditionalFormatting>
        <x14:conditionalFormatting xmlns:xm="http://schemas.microsoft.com/office/excel/2006/main">
          <x14:cfRule type="expression" priority="196" id="{4F9C6679-3D8F-4450-960A-AF70C094AABB}">
            <xm:f>$J$43=Formeln!$A$1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J43:K43</xm:sqref>
        </x14:conditionalFormatting>
        <x14:conditionalFormatting xmlns:xm="http://schemas.microsoft.com/office/excel/2006/main">
          <x14:cfRule type="expression" priority="195" id="{C7E13350-BAC6-4E0F-906B-E28FCD2A7223}">
            <xm:f>$I$79=Formeln!$A$1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I79:K79</xm:sqref>
        </x14:conditionalFormatting>
        <x14:conditionalFormatting xmlns:xm="http://schemas.microsoft.com/office/excel/2006/main">
          <x14:cfRule type="expression" priority="194" id="{7A947124-C563-4556-A6A1-5DB723CF24FE}">
            <xm:f>$I$80=Formeln!$A$1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I80</xm:sqref>
        </x14:conditionalFormatting>
        <x14:conditionalFormatting xmlns:xm="http://schemas.microsoft.com/office/excel/2006/main">
          <x14:cfRule type="expression" priority="193" id="{31435A1C-A1A7-47E1-8CDF-E7DA03BF965D}">
            <xm:f>$K$80=Formeln!$A$1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K80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>
          <x14:formula1>
            <xm:f>Formeln!$A$132:$A$142</xm:f>
          </x14:formula1>
          <xm:sqref>K80</xm:sqref>
        </x14:dataValidation>
        <x14:dataValidation type="list" allowBlank="1" showInputMessage="1" showErrorMessage="1">
          <x14:formula1>
            <xm:f>Formeln!$A$27:$A$48</xm:f>
          </x14:formula1>
          <xm:sqref>J42:K42</xm:sqref>
        </x14:dataValidation>
        <x14:dataValidation type="list" allowBlank="1" showInputMessage="1" showErrorMessage="1">
          <x14:formula1>
            <xm:f>Formeln!$A$20:$A$22</xm:f>
          </x14:formula1>
          <xm:sqref>I80</xm:sqref>
        </x14:dataValidation>
        <x14:dataValidation type="list" allowBlank="1" showInputMessage="1" showErrorMessage="1">
          <x14:formula1>
            <xm:f>Formeln!$A$17:$A$19</xm:f>
          </x14:formula1>
          <xm:sqref>H39:K39</xm:sqref>
        </x14:dataValidation>
        <x14:dataValidation type="list" allowBlank="1" showInputMessage="1" showErrorMessage="1">
          <x14:formula1>
            <xm:f>Formeln!$A$14:$A$16</xm:f>
          </x14:formula1>
          <xm:sqref>H38:K38</xm:sqref>
        </x14:dataValidation>
        <x14:dataValidation type="list" allowBlank="1" showInputMessage="1" showErrorMessage="1">
          <x14:formula1>
            <xm:f>Formeln!$A$9:$A$11</xm:f>
          </x14:formula1>
          <xm:sqref>H29:K29</xm:sqref>
        </x14:dataValidation>
        <x14:dataValidation type="list" allowBlank="1" showInputMessage="1" showErrorMessage="1">
          <x14:formula1>
            <xm:f>Formeln!$A$5:$A$8</xm:f>
          </x14:formula1>
          <xm:sqref>H27:K27</xm:sqref>
        </x14:dataValidation>
        <x14:dataValidation type="list" allowBlank="1" showInputMessage="1" showErrorMessage="1">
          <x14:formula1>
            <xm:f>Formeln!$A$1:$A$4</xm:f>
          </x14:formula1>
          <xm:sqref>H26:K26</xm:sqref>
        </x14:dataValidation>
        <x14:dataValidation type="list" allowBlank="1" showInputMessage="1" showErrorMessage="1">
          <x14:formula1>
            <xm:f>Formeln!$A$115:$A$120</xm:f>
          </x14:formula1>
          <xm:sqref>I79:K79</xm:sqref>
        </x14:dataValidation>
        <x14:dataValidation type="list" allowBlank="1" showInputMessage="1" showErrorMessage="1">
          <x14:formula1>
            <xm:f>Formeln!$A$49:$A$112</xm:f>
          </x14:formula1>
          <xm:sqref>J43:K43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pageSetUpPr fitToPage="1"/>
  </sheetPr>
  <dimension ref="A1:PW106"/>
  <sheetViews>
    <sheetView showGridLines="0" showZeros="0" zoomScaleNormal="100" workbookViewId="0">
      <selection activeCell="C8" sqref="C8:E8"/>
    </sheetView>
  </sheetViews>
  <sheetFormatPr baseColWidth="10" defaultColWidth="0" defaultRowHeight="14.25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8" width="8.73046875" style="1" hidden="1" customWidth="1"/>
    <col min="19" max="19" width="24.73046875" style="1" hidden="1" customWidth="1"/>
    <col min="20" max="20" width="18.86328125" style="1" hidden="1" customWidth="1"/>
    <col min="21" max="16384" width="8.73046875" style="1" hidden="1"/>
  </cols>
  <sheetData>
    <row r="1" spans="1:17" ht="27.75">
      <c r="M1" s="2" t="str">
        <f>VLOOKUP("PREFA DACHSYSTEME",Sprachindex!A:Z,Info!$O$6,FALSE)</f>
        <v>PREFA DACHSYSTEME</v>
      </c>
    </row>
    <row r="2" spans="1:17" ht="27.75">
      <c r="D2" s="23"/>
      <c r="M2" s="2" t="str">
        <f>VLOOKUP("DACHRAUTE 44 × 44",Sprachindex!A:Z,Info!$O$6,FALSE)</f>
        <v>DACHRAUTE 44 × 44</v>
      </c>
    </row>
    <row r="3" spans="1:17" ht="15" customHeight="1"/>
    <row r="4" spans="1:17" ht="17.25" customHeight="1">
      <c r="J4" s="152" t="str">
        <f>VLOOKUP("RETOURNIERUNG PER FAX:",Sprachindex!A:Z,Info!$O$6,FALSE)</f>
        <v>RETOURNIERUNG PER FAX:</v>
      </c>
      <c r="K4" s="292"/>
      <c r="L4" s="293"/>
      <c r="M4" s="294"/>
      <c r="Q4" s="3"/>
    </row>
    <row r="5" spans="1:17" ht="17.25" customHeight="1">
      <c r="J5" s="152" t="str">
        <f>VLOOKUP("ODER EMAIL:",Sprachindex!A:Z,Info!$O$6,FALSE)</f>
        <v>ODER EMAIL:</v>
      </c>
      <c r="K5" s="292"/>
      <c r="L5" s="293"/>
      <c r="M5" s="294"/>
      <c r="Q5" s="3"/>
    </row>
    <row r="6" spans="1:17" ht="17.25" customHeight="1">
      <c r="J6" s="152" t="str">
        <f>VLOOKUP("Datum:",Sprachindex!A:Z,Info!$O$6,FALSE)</f>
        <v>Datum:</v>
      </c>
      <c r="K6" s="292"/>
      <c r="L6" s="293"/>
      <c r="M6" s="294"/>
      <c r="N6" s="18">
        <v>0</v>
      </c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P7" s="13"/>
    </row>
    <row r="8" spans="1:17" ht="15" customHeight="1">
      <c r="A8" s="123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57" t="str">
        <f>VLOOKUP("stucco",Sprachindex!A:Z,Info!$O$6,FALSE)</f>
        <v>stucco</v>
      </c>
      <c r="J8" s="122"/>
      <c r="K8" s="123"/>
      <c r="L8" s="122" t="str">
        <f>VLOOKUP("glatt",Sprachindex!A:Z,Info!$O$6,FALSE)</f>
        <v>glatt</v>
      </c>
      <c r="M8" s="123"/>
      <c r="N8" s="84"/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23"/>
      <c r="J9" s="124">
        <v>1</v>
      </c>
      <c r="K9" s="123"/>
      <c r="L9" s="123"/>
      <c r="M9" s="123"/>
      <c r="N9" s="5"/>
      <c r="Q9" s="4"/>
    </row>
    <row r="10" spans="1:17" ht="15" customHeight="1">
      <c r="A10" s="123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5"/>
      <c r="O10" s="14"/>
      <c r="Q10" s="4"/>
    </row>
    <row r="11" spans="1:17" ht="15" customHeight="1">
      <c r="A11" s="123"/>
      <c r="B11" s="123"/>
      <c r="C11" s="123"/>
      <c r="D11" s="123"/>
      <c r="E11" s="123"/>
      <c r="F11" s="123"/>
      <c r="G11" s="123"/>
      <c r="H11" s="123"/>
      <c r="I11" s="127"/>
      <c r="J11" s="124">
        <v>1</v>
      </c>
      <c r="K11" s="123"/>
      <c r="L11" s="123"/>
      <c r="M11" s="123"/>
      <c r="N11" s="5"/>
    </row>
    <row r="12" spans="1:17" ht="15" customHeight="1">
      <c r="A12" s="123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83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5"/>
      <c r="Q13" s="4"/>
    </row>
    <row r="14" spans="1:17" ht="15" customHeight="1">
      <c r="A14" s="123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5"/>
      <c r="Q14" s="4"/>
    </row>
    <row r="15" spans="1:17" ht="15" customHeight="1">
      <c r="A15" s="123"/>
      <c r="B15" s="123"/>
      <c r="C15" s="123"/>
      <c r="D15" s="123"/>
      <c r="E15" s="123"/>
      <c r="F15" s="123"/>
      <c r="G15" s="123" t="str">
        <f>VLOOKUP("01 P.10 braun",Sprachindex!A:Z,Info!$O$6,FALSE)</f>
        <v>01 P.10 braun</v>
      </c>
      <c r="H15" s="123"/>
      <c r="I15" s="123"/>
      <c r="J15" s="122" t="str">
        <f>VLOOKUP("07 P.10 hellgrau ",Sprachindex!A:Z,Info!$O$6,FALSE)</f>
        <v xml:space="preserve">07 P.10 hellgrau </v>
      </c>
      <c r="K15" s="123"/>
      <c r="L15" s="123"/>
      <c r="M15" s="123"/>
      <c r="N15" s="5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P.10 anthrazit",Sprachindex!A:Z,Info!$O$6,FALSE)</f>
        <v>02 P.10 anthrazit</v>
      </c>
      <c r="H16" s="123"/>
      <c r="I16" s="123"/>
      <c r="J16" s="125" t="str">
        <f>VLOOKUP("11 P.10 nussbraun",Sprachindex!A:Z,Info!$O$6,FALSE)</f>
        <v>11 P.10 nussbraun</v>
      </c>
      <c r="K16" s="123"/>
      <c r="L16" s="123"/>
      <c r="M16" s="123"/>
      <c r="N16" s="5"/>
      <c r="P16" s="13"/>
    </row>
    <row r="17" spans="1:39" ht="15" customHeight="1">
      <c r="A17" s="123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P.10 schwarz",Sprachindex!A:Z,Info!$O$6,FALSE)</f>
        <v>03 P.10 schwarz</v>
      </c>
      <c r="H17" s="123"/>
      <c r="I17" s="123"/>
      <c r="J17" s="125" t="str">
        <f>VLOOKUP("43 P.10 steingrau",Sprachindex!A:Z,Info!$O$6,FALSE)</f>
        <v>43 P.10 steingrau</v>
      </c>
      <c r="K17" s="123"/>
      <c r="L17" s="123"/>
      <c r="M17" s="123"/>
      <c r="N17" s="17"/>
      <c r="Q17" s="4"/>
    </row>
    <row r="18" spans="1:39" ht="15" customHeight="1">
      <c r="A18" s="123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P.10 ziegelrot",Sprachindex!A:Z,Info!$O$6,FALSE)</f>
        <v>04 P.10 ziegelrot</v>
      </c>
      <c r="H18" s="123"/>
      <c r="I18" s="123"/>
      <c r="J18" s="125" t="str">
        <f>VLOOKUP("13 naturblank",Sprachindex!A:Z,Info!$O$6,FALSE)</f>
        <v>13 naturblank</v>
      </c>
      <c r="K18" s="123"/>
      <c r="L18" s="123"/>
      <c r="M18" s="123"/>
      <c r="N18" s="5"/>
      <c r="Q18" s="4"/>
    </row>
    <row r="19" spans="1:39" ht="15" customHeight="1">
      <c r="A19" s="123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P.10 oxydrot",Sprachindex!A:Z,Info!$O$6,FALSE)</f>
        <v>05 P.10 oxydrot</v>
      </c>
      <c r="H19" s="123"/>
      <c r="I19" s="123"/>
      <c r="J19" s="125"/>
      <c r="K19" s="123"/>
      <c r="L19" s="124"/>
      <c r="M19" s="123"/>
      <c r="N19" s="5"/>
      <c r="Q19" s="4"/>
      <c r="S19" s="61"/>
      <c r="T19" s="61"/>
    </row>
    <row r="20" spans="1:39" ht="15" customHeight="1">
      <c r="A20" s="123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P.10 moosgrün",Sprachindex!A:Z,Info!$O$6,FALSE)</f>
        <v>06 P.10 moosgrün</v>
      </c>
      <c r="H20" s="123"/>
      <c r="I20" s="160"/>
      <c r="J20" s="161"/>
      <c r="K20" s="161"/>
      <c r="L20" s="123"/>
      <c r="M20" s="123"/>
      <c r="N20" s="83"/>
      <c r="Q20" s="4"/>
    </row>
    <row r="21" spans="1:39" ht="15" customHeight="1">
      <c r="A21" s="123"/>
      <c r="B21" s="127"/>
      <c r="C21" s="123"/>
      <c r="D21" s="123"/>
      <c r="E21" s="123"/>
      <c r="F21" s="123"/>
      <c r="G21" s="123"/>
      <c r="H21" s="123"/>
      <c r="I21" s="160"/>
      <c r="J21" s="123"/>
      <c r="K21" s="123"/>
      <c r="L21" s="123"/>
      <c r="M21" s="123"/>
      <c r="Q21" s="4"/>
    </row>
    <row r="22" spans="1:39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123"/>
      <c r="G22" s="123"/>
      <c r="H22" s="123"/>
      <c r="I22" s="123"/>
      <c r="J22" s="123"/>
      <c r="K22" s="123"/>
      <c r="L22" s="123"/>
      <c r="M22" s="123"/>
    </row>
    <row r="23" spans="1:39" ht="35.1" customHeight="1" thickBot="1">
      <c r="A23" s="128" t="str">
        <f>VLOOKUP("Menge",Sprachindex!A:Z,Info!$O$6,FALSE)</f>
        <v>Menge</v>
      </c>
      <c r="B23" s="129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O23" s="1"/>
      <c r="Q23" s="59"/>
      <c r="T23" s="75" t="s">
        <v>1554</v>
      </c>
      <c r="U23" s="75" t="s">
        <v>1555</v>
      </c>
      <c r="V23" s="75" t="s">
        <v>1556</v>
      </c>
      <c r="W23" s="75" t="s">
        <v>1557</v>
      </c>
      <c r="X23" s="75" t="s">
        <v>1558</v>
      </c>
      <c r="Y23" s="75" t="s">
        <v>1559</v>
      </c>
      <c r="Z23" s="75" t="s">
        <v>1560</v>
      </c>
      <c r="AA23" s="75" t="s">
        <v>1561</v>
      </c>
      <c r="AB23" s="75" t="s">
        <v>1562</v>
      </c>
      <c r="AC23" s="75" t="s">
        <v>1563</v>
      </c>
      <c r="AD23" s="75" t="s">
        <v>1554</v>
      </c>
      <c r="AE23" s="75" t="s">
        <v>1555</v>
      </c>
      <c r="AF23" s="75" t="s">
        <v>1556</v>
      </c>
      <c r="AG23" s="75" t="s">
        <v>1557</v>
      </c>
      <c r="AH23" s="75" t="s">
        <v>1558</v>
      </c>
      <c r="AI23" s="75" t="s">
        <v>1559</v>
      </c>
      <c r="AJ23" s="75" t="s">
        <v>1560</v>
      </c>
      <c r="AK23" s="75" t="s">
        <v>1561</v>
      </c>
      <c r="AL23" s="75" t="s">
        <v>1562</v>
      </c>
      <c r="AM23" s="75" t="s">
        <v>1563</v>
      </c>
    </row>
    <row r="24" spans="1:39" ht="32.1" customHeight="1">
      <c r="A24" s="169"/>
      <c r="B24" s="133" t="str">
        <f>VLOOKUP("m²",Sprachindex!A:Z,Info!$O$6,FALSE)</f>
        <v>m²</v>
      </c>
      <c r="C24" s="170"/>
      <c r="D24" s="171">
        <f>IF(AND($N$8=2,$N$20=1),T24,IF(AND($N$8=2,$N$20=4),U24,IF(AND($N$8=2,$N$20=5),V24,IF(AND($N$8=2,$N$20=11),W24,IF(AND($N$8=2,$N$20=7),X24,IF(AND($N$8=2,$N$20=3),Y24,IF(AND($N$8=2,$N$20=6),Z24,IF(AND($N$8=2,$N$20=9),AA24,IF(AND($N$8=2,$N$20=2),AB24,IF(AND($N$8=2,$N$20=8),AC24,IF(AND($N$8=1,$N$20=1),AD24,IF(AND($N$8=1,$N$20=1),AD24,IF(AND($N$8=1,$N$20=4),AE24,IF(AND($N$8=1,$N$20=5),AF24,IF(AND($N$8=1,$N$20=11),AG24,IF(AND($N$8=1,$N$20=7),AH24,IF(AND($N$8=1,$N$20=3),AI24,IF(AND($N$8=1,$N$20=6),AJ24,IF(AND($N$8=1,$N$20=9),AK24,IF(AND($N$8=1,$N$20=2),AL24,IF(AND($N$8=1,$N$20=8),AM24,0)))))))))))))))))))))</f>
        <v>0</v>
      </c>
      <c r="E24" s="295" t="str">
        <f>VLOOKUP("PREFA Dachraute (440 × 440 mm, 42 Stk./Kart.)",Sprachindex!A:Z,Info!$O$6,FALSE)</f>
        <v>PREFA Dachraute (440 × 440 mm, 42 Stk./Kart.)</v>
      </c>
      <c r="F24" s="296"/>
      <c r="G24" s="296"/>
      <c r="H24" s="296"/>
      <c r="I24" s="296"/>
      <c r="J24" s="296"/>
      <c r="K24" s="297"/>
      <c r="L24" s="133" t="str">
        <f t="shared" ref="L24:L55" si="0">IF(A24=0,"",IF($N$10=1,P24,Q24))</f>
        <v/>
      </c>
      <c r="M24" s="172"/>
      <c r="O24" s="1"/>
      <c r="P24" s="56"/>
      <c r="Q24" s="60" t="str">
        <f>ROUNDUP(A24/8,0)*8 &amp; " m²                                    " &amp; "(="&amp;ROUNDUP(ROUNDUP(A24/8,0)*8/8,0)*42 &amp;" Stk)"</f>
        <v>0 m²                                    (=0 Stk)</v>
      </c>
      <c r="T24" s="72">
        <v>112221</v>
      </c>
      <c r="U24" s="72">
        <v>112222</v>
      </c>
      <c r="V24" s="72">
        <v>112223</v>
      </c>
      <c r="W24" s="72">
        <v>112224</v>
      </c>
      <c r="X24" s="72">
        <v>112225</v>
      </c>
      <c r="Y24" s="72">
        <v>112226</v>
      </c>
      <c r="Z24" s="72">
        <v>112227</v>
      </c>
      <c r="AA24" s="72">
        <v>112228</v>
      </c>
      <c r="AB24" s="72">
        <v>112229</v>
      </c>
      <c r="AC24" s="72">
        <v>112220</v>
      </c>
      <c r="AD24" s="72">
        <v>112201</v>
      </c>
      <c r="AE24" s="72">
        <v>112202</v>
      </c>
      <c r="AF24" s="72">
        <v>112203</v>
      </c>
      <c r="AG24" s="72">
        <v>112204</v>
      </c>
      <c r="AH24" s="72">
        <v>112205</v>
      </c>
      <c r="AI24" s="72">
        <v>112206</v>
      </c>
      <c r="AJ24" s="72">
        <v>112207</v>
      </c>
      <c r="AK24" s="72">
        <v>112208</v>
      </c>
      <c r="AL24" s="72">
        <v>112209</v>
      </c>
      <c r="AM24" s="72">
        <v>112200</v>
      </c>
    </row>
    <row r="25" spans="1:39" ht="32.1" customHeight="1">
      <c r="A25" s="164"/>
      <c r="B25" s="137" t="str">
        <f>VLOOKUP("lfm",Sprachindex!A:Z,Info!$O$6,FALSE)</f>
        <v>lfm</v>
      </c>
      <c r="C25" s="135"/>
      <c r="D25" s="136">
        <f>IF(AND($N$8=2,$N$20=1),T25,IF(AND($N$8=2,$N$20=4),U25,IF(AND($N$8=2,$N$20=5),V25,IF(AND($N$8=2,$N$20=11),W25,IF(AND($N$8=2,$N$20=7),X25,IF(AND($N$8=2,$N$20=3),Y25,IF(AND($N$8=2,$N$20=6),Z25,IF(AND($N$8=2,$N$20=9),AA25,IF(AND($N$8=2,$N$20=2),AB25,IF(AND($N$8=2,$N$20=8),AC25,IF(AND($N$8=1,$N$20=1),AD25,IF(AND($N$8=1,$N$20=1),AD25,IF(AND($N$8=1,$N$20=4),AE25,IF(AND($N$8=1,$N$20=5),AF25,IF(AND($N$8=1,$N$20=11),AG25,IF(AND($N$8=1,$N$20=7),AH25,IF(AND($N$8=1,$N$20=3),AI25,IF(AND($N$8=1,$N$20=6),AJ25,IF(AND($N$8=1,$N$20=9),AK25,IF(AND($N$8=1,$N$20=2),AL25,IF(AND($N$8=1,$N$20=8),AM25,0)))))))))))))))))))))</f>
        <v>0</v>
      </c>
      <c r="E25" s="264" t="str">
        <f>VLOOKUP("PREFA Startplatte (1,48 Stk./lfm, 40 Stk./Kart.)",Sprachindex!A:Z,Info!$O$6,FALSE)</f>
        <v>PREFA Startplatte (1,48 Stk./lfm, 40 Stk./Kart.)</v>
      </c>
      <c r="F25" s="265"/>
      <c r="G25" s="265"/>
      <c r="H25" s="265"/>
      <c r="I25" s="265"/>
      <c r="J25" s="265"/>
      <c r="K25" s="266"/>
      <c r="L25" s="137" t="str">
        <f t="shared" si="0"/>
        <v/>
      </c>
      <c r="M25" s="138"/>
      <c r="O25" s="1"/>
      <c r="P25" s="56"/>
      <c r="Q25" s="60" t="str">
        <f>TRUNC(ROUNDUP(A25/(1/1.48),0)*(1/1.48),2) &amp; " " &amp; Formeln!A124 &amp; "                                 " &amp; "(="&amp;ROUNDUP(A25/(1/1.48),0) &amp;" Stk)"</f>
        <v>0 lfm                                 (=0 Stk)</v>
      </c>
      <c r="T25" s="72">
        <v>112261</v>
      </c>
      <c r="U25" s="72">
        <v>112262</v>
      </c>
      <c r="V25" s="72">
        <v>112263</v>
      </c>
      <c r="W25" s="72">
        <v>112264</v>
      </c>
      <c r="X25" s="72">
        <v>112265</v>
      </c>
      <c r="Y25" s="72">
        <v>112266</v>
      </c>
      <c r="Z25" s="72">
        <v>112267</v>
      </c>
      <c r="AA25" s="72">
        <v>112268</v>
      </c>
      <c r="AB25" s="72">
        <v>112269</v>
      </c>
      <c r="AC25" s="72">
        <v>112260</v>
      </c>
      <c r="AD25" s="72">
        <v>112241</v>
      </c>
      <c r="AE25" s="72">
        <v>112242</v>
      </c>
      <c r="AF25" s="72">
        <v>112243</v>
      </c>
      <c r="AG25" s="72">
        <v>112244</v>
      </c>
      <c r="AH25" s="72">
        <v>112245</v>
      </c>
      <c r="AI25" s="72">
        <v>112246</v>
      </c>
      <c r="AJ25" s="72">
        <v>112247</v>
      </c>
      <c r="AK25" s="72">
        <v>112248</v>
      </c>
      <c r="AL25" s="72">
        <v>112249</v>
      </c>
      <c r="AM25" s="72">
        <v>112240</v>
      </c>
    </row>
    <row r="26" spans="1:39" ht="32.1" customHeight="1">
      <c r="A26" s="164"/>
      <c r="B26" s="137" t="str">
        <f>VLOOKUP("lfm",Sprachindex!A:Z,Info!$O$6,FALSE)</f>
        <v>lfm</v>
      </c>
      <c r="C26" s="135"/>
      <c r="D26" s="136">
        <f>IF(AND($N$8=2,$N$20=1),T26,IF(AND($N$8=2,$N$20=4),U26,IF(AND($N$8=2,$N$20=5),V26,IF(AND($N$8=2,$N$20=11),W26,IF(AND($N$8=2,$N$20=7),X26,IF(AND($N$8=2,$N$20=3),Y26,IF(AND($N$8=2,$N$20=6),Z26,IF(AND($N$8=2,$N$20=9),AA26,IF(AND($N$8=2,$N$20=2),AB26,IF(AND($N$8=2,$N$20=8),AC26,IF(AND($N$8=1,$N$20=1),AD26,IF(AND($N$8=1,$N$20=1),AD26,IF(AND($N$8=1,$N$20=4),AE26,IF(AND($N$8=1,$N$20=5),AF26,IF(AND($N$8=1,$N$20=11),AG26,IF(AND($N$8=1,$N$20=7),AH26,IF(AND($N$8=1,$N$20=3),AI26,IF(AND($N$8=1,$N$20=6),AJ26,IF(AND($N$8=1,$N$20=9),AK26,IF(AND($N$8=1,$N$20=2),AL26,IF(AND($N$8=1,$N$20=8),AM26,0)))))))))))))))))))))</f>
        <v>0</v>
      </c>
      <c r="E26" s="264" t="str">
        <f>VLOOKUP("PREFA Endplatte (1,48 Stk./lfm, 40 Stk./Kart.)",Sprachindex!A:Z,Info!$O$6,FALSE)</f>
        <v>PREFA Endplatte (1,48 Stk./lfm, 40 Stk./Kart.)</v>
      </c>
      <c r="F26" s="265"/>
      <c r="G26" s="265"/>
      <c r="H26" s="265"/>
      <c r="I26" s="265"/>
      <c r="J26" s="265"/>
      <c r="K26" s="266"/>
      <c r="L26" s="137" t="str">
        <f t="shared" si="0"/>
        <v/>
      </c>
      <c r="M26" s="138"/>
      <c r="O26" s="1"/>
      <c r="P26" s="56"/>
      <c r="Q26" s="60" t="str">
        <f>TRUNC(ROUNDUP(A26/(1/1.48),0)*(1/1.48),2) &amp; " " &amp; Formeln!A124 &amp; "                                 " &amp; "(="&amp;ROUNDUP(A26/(1/1.48),0) &amp;" Stk)"</f>
        <v>0 lfm                                 (=0 Stk)</v>
      </c>
      <c r="T26" s="72">
        <v>112301</v>
      </c>
      <c r="U26" s="72">
        <v>112302</v>
      </c>
      <c r="V26" s="72">
        <v>112303</v>
      </c>
      <c r="W26" s="72">
        <v>112304</v>
      </c>
      <c r="X26" s="72">
        <v>112305</v>
      </c>
      <c r="Y26" s="72">
        <v>112306</v>
      </c>
      <c r="Z26" s="72">
        <v>112307</v>
      </c>
      <c r="AA26" s="72">
        <v>112308</v>
      </c>
      <c r="AB26" s="72">
        <v>112309</v>
      </c>
      <c r="AC26" s="72">
        <v>112300</v>
      </c>
      <c r="AD26" s="72">
        <v>112281</v>
      </c>
      <c r="AE26" s="72">
        <v>112282</v>
      </c>
      <c r="AF26" s="72">
        <v>112283</v>
      </c>
      <c r="AG26" s="72">
        <v>112284</v>
      </c>
      <c r="AH26" s="72">
        <v>112285</v>
      </c>
      <c r="AI26" s="72">
        <v>112286</v>
      </c>
      <c r="AJ26" s="72">
        <v>112287</v>
      </c>
      <c r="AK26" s="72">
        <v>112288</v>
      </c>
      <c r="AL26" s="72">
        <v>112289</v>
      </c>
      <c r="AM26" s="72">
        <v>112280</v>
      </c>
    </row>
    <row r="27" spans="1:39" ht="32.1" customHeight="1">
      <c r="A27" s="164"/>
      <c r="B27" s="137" t="str">
        <f>VLOOKUP("lfm",Sprachindex!A:Z,Info!$O$6,FALSE)</f>
        <v>lfm</v>
      </c>
      <c r="C27" s="135"/>
      <c r="D27" s="141">
        <v>562005</v>
      </c>
      <c r="E27" s="264" t="str">
        <f>VLOOKUP("PREFA Saumstreifen (1.800 × 158 × 1,00 mm)",Sprachindex!A:Z,Info!$O$6,FALSE)</f>
        <v>PREFA Saumstreifen (1.800 × 158 × 1,00 mm)</v>
      </c>
      <c r="F27" s="265"/>
      <c r="G27" s="265"/>
      <c r="H27" s="265"/>
      <c r="I27" s="265"/>
      <c r="J27" s="265"/>
      <c r="K27" s="266"/>
      <c r="L27" s="137" t="str">
        <f t="shared" si="0"/>
        <v/>
      </c>
      <c r="M27" s="138"/>
      <c r="O27" s="1"/>
      <c r="P27" s="31"/>
      <c r="Q27" s="31" t="str">
        <f>ROUNDUP(A27/1.8,0)*1.8 &amp; " " &amp; Formeln!A124 &amp; "                                 " &amp; "(="&amp;ROUNDUP(A27/1.8,0) &amp;" " &amp; Formeln!A123 &amp; ")"</f>
        <v>0 lfm                                 (=0 STK)</v>
      </c>
    </row>
    <row r="28" spans="1:39" ht="32.1" customHeight="1">
      <c r="A28" s="164"/>
      <c r="B28" s="137" t="str">
        <f>VLOOKUP("kg",Sprachindex!A:Z,Info!$O$6,FALSE)</f>
        <v>kg</v>
      </c>
      <c r="C28" s="135"/>
      <c r="D28" s="136">
        <f>IF(H28=Formeln!A2,340392,IF(H28=Formeln!A3,340394,IF(H28=Formeln!A4,341392,0)))</f>
        <v>0</v>
      </c>
      <c r="E28" s="283" t="str">
        <f>VLOOKUP("PREFA Rillennagel verzinkt",Sprachindex!A:Z,Info!$O$6,FALSE)</f>
        <v>PREFA Rillennagel verzinkt</v>
      </c>
      <c r="F28" s="284"/>
      <c r="G28" s="284"/>
      <c r="H28" s="269"/>
      <c r="I28" s="270"/>
      <c r="J28" s="270"/>
      <c r="K28" s="271"/>
      <c r="L28" s="137" t="str">
        <f t="shared" si="0"/>
        <v/>
      </c>
      <c r="M28" s="138"/>
      <c r="O28" s="1"/>
      <c r="P28" s="57"/>
      <c r="Q28" s="57" t="str">
        <f>ROUNDUP(A28/2.5,0)*2.5 &amp; " " &amp; Formeln!A126 &amp; "                              " &amp; "(="&amp;ROUNDUP(A28/2.5,0)*2.5*R28 &amp;"" &amp; Formeln!A123 &amp; ")"</f>
        <v>0 kg                              (=0STK)</v>
      </c>
      <c r="R28" s="8">
        <f>IF(H28=Formeln!A2,570,IF(H28=Formeln!A3,480,IF(H28=Formeln!A4,380,0)))</f>
        <v>0</v>
      </c>
    </row>
    <row r="29" spans="1:39" ht="32.1" customHeight="1">
      <c r="A29" s="164"/>
      <c r="B29" s="137" t="str">
        <f>VLOOKUP("Karton",Sprachindex!A:Z,Info!$O$6,FALSE)</f>
        <v>Karton</v>
      </c>
      <c r="C29" s="135"/>
      <c r="D29" s="136">
        <f>IF(H29=Formeln!A6,341395,IF(H29=Formeln!A7,341396,IF(H29=Formeln!A8,341398,0)))</f>
        <v>0</v>
      </c>
      <c r="E29" s="283" t="str">
        <f>VLOOKUP("Nägel für Bull Tack Power Nagler",Sprachindex!A:Z,Info!$O$6,FALSE)</f>
        <v>Nägel für Bull Tack Power Nagler</v>
      </c>
      <c r="F29" s="284"/>
      <c r="G29" s="284"/>
      <c r="H29" s="269"/>
      <c r="I29" s="270"/>
      <c r="J29" s="270"/>
      <c r="K29" s="271"/>
      <c r="L29" s="137" t="str">
        <f t="shared" si="0"/>
        <v/>
      </c>
      <c r="M29" s="138"/>
      <c r="O29" s="1"/>
      <c r="P29" s="57"/>
      <c r="Q29" s="57" t="str">
        <f>A29 &amp; " " &amp; Formeln!A125 &amp; "                    " &amp; "(="&amp;R29*A29 &amp;"" &amp; Formeln!A123 &amp; ")"</f>
        <v xml:space="preserve"> Karton                    (=0STK)</v>
      </c>
      <c r="R29" s="8">
        <f>IF(H29=Formeln!A7,2400,3200)</f>
        <v>3200</v>
      </c>
    </row>
    <row r="30" spans="1:39" ht="32.1" customHeight="1">
      <c r="A30" s="164"/>
      <c r="B30" s="137" t="str">
        <f>VLOOKUP("lfm",Sprachindex!A:Z,Info!$O$6,FALSE)</f>
        <v>lfm</v>
      </c>
      <c r="C30" s="135"/>
      <c r="D30" s="136">
        <f>IF($N$20=1,T30,IF($N$20=4,U30,IF($N$20=5,V30,IF($N$20=11,W30,IF($N$20=7,X30,IF($N$20=3,Y30,IF($N$20=6,Z30,IF($N$20=9,AA30,IF($N$20=2,AB30,IF($N$20=8,AC30,0))))))))))</f>
        <v>0</v>
      </c>
      <c r="E30" s="264" t="str">
        <f>VLOOKUP("PREFA Einlaufblech glatt 230 × 2.000 × 0,7 mm",Sprachindex!A:Z,Info!$O$6,FALSE)</f>
        <v>PREFA Einlaufblech glatt 230 × 2.000 × 0,7 mm</v>
      </c>
      <c r="F30" s="265"/>
      <c r="G30" s="265"/>
      <c r="H30" s="265"/>
      <c r="I30" s="265"/>
      <c r="J30" s="265"/>
      <c r="K30" s="266"/>
      <c r="L30" s="137" t="str">
        <f t="shared" si="0"/>
        <v/>
      </c>
      <c r="M30" s="138"/>
      <c r="O30" s="1"/>
      <c r="P30" s="11"/>
      <c r="Q30" s="11" t="str">
        <f>ROUNDUP(A30/2,0)*2 &amp;" " &amp; VLOOKUP("lfm",Sprachindex!A:Z,Info!$O$6,FALSE)</f>
        <v>0 lfm</v>
      </c>
      <c r="T30" s="72">
        <v>563004</v>
      </c>
      <c r="U30" s="72">
        <v>563006</v>
      </c>
      <c r="V30" s="72">
        <v>563001</v>
      </c>
      <c r="W30" s="72">
        <v>563005</v>
      </c>
      <c r="Y30" s="72">
        <v>563007</v>
      </c>
      <c r="Z30" s="72">
        <v>563016</v>
      </c>
      <c r="AA30" s="72">
        <v>563011</v>
      </c>
      <c r="AB30" s="72">
        <v>563017</v>
      </c>
      <c r="AC30" s="72">
        <v>563002</v>
      </c>
    </row>
    <row r="31" spans="1:39" ht="32.1" customHeight="1">
      <c r="A31" s="164"/>
      <c r="B31" s="137" t="str">
        <f>VLOOKUP("lfm",Sprachindex!A:Z,Info!$O$6,FALSE)</f>
        <v>lfm</v>
      </c>
      <c r="C31" s="140"/>
      <c r="D31" s="141">
        <f>IF(H31=Formeln!A10,507400,IF(H31=Formeln!A11,507401,IF(H31=Formeln!A12,507410,IF(H31=Formeln!A13,507411,0))))</f>
        <v>0</v>
      </c>
      <c r="E31" s="264" t="str">
        <f>VLOOKUP("PREFA Lüftungsband",Sprachindex!A:Z,Info!$O$6,FALSE)</f>
        <v>PREFA Lüftungsband</v>
      </c>
      <c r="F31" s="265"/>
      <c r="G31" s="265"/>
      <c r="H31" s="269"/>
      <c r="I31" s="270"/>
      <c r="J31" s="270"/>
      <c r="K31" s="271"/>
      <c r="L31" s="137" t="str">
        <f t="shared" si="0"/>
        <v/>
      </c>
      <c r="M31" s="138"/>
      <c r="O31" s="1"/>
      <c r="P31" s="11"/>
      <c r="Q31" s="11" t="str">
        <f>ROUNDUP(A31/40,0)*40 &amp;" " &amp; VLOOKUP("lfm",Sprachindex!A:Z,Info!$O$6,FALSE)</f>
        <v>0 lfm</v>
      </c>
    </row>
    <row r="32" spans="1:39" ht="32.1" customHeight="1">
      <c r="A32" s="164"/>
      <c r="B32" s="137" t="str">
        <f>VLOOKUP("lfm",Sprachindex!A:Z,Info!$O$6,FALSE)</f>
        <v>lfm</v>
      </c>
      <c r="C32" s="135"/>
      <c r="D32" s="136">
        <v>507300</v>
      </c>
      <c r="E32" s="264" t="str">
        <f>VLOOKUP("PREFA Vogelschutzgitter braun/anthrazit (125x2.000x0,7mm)",Sprachindex!A:Z,Info!$O$6,FALSE)</f>
        <v>PREFA Vogelschutzgitter braun/anthrazit (125x2.000x0,7mm)</v>
      </c>
      <c r="F32" s="265"/>
      <c r="G32" s="265"/>
      <c r="H32" s="265"/>
      <c r="I32" s="265"/>
      <c r="J32" s="265"/>
      <c r="K32" s="266"/>
      <c r="L32" s="137" t="str">
        <f t="shared" si="0"/>
        <v/>
      </c>
      <c r="M32" s="138"/>
      <c r="O32" s="1"/>
      <c r="P32" s="11"/>
      <c r="Q32" s="11" t="str">
        <f>ROUNDUP(A32/2,0)*2 &amp;" " &amp; VLOOKUP("lfm",Sprachindex!A:Z,Info!$O$6,FALSE)</f>
        <v>0 lfm</v>
      </c>
    </row>
    <row r="33" spans="1:439" ht="32.1" customHeight="1">
      <c r="A33" s="164"/>
      <c r="B33" s="137" t="str">
        <f>VLOOKUP("lfm",Sprachindex!A:Z,Info!$O$6,FALSE)</f>
        <v>lfm</v>
      </c>
      <c r="C33" s="135"/>
      <c r="D33" s="136">
        <f t="shared" ref="D33:D39" si="1">IF(AND($N$8=2,$N$20=1),T33,IF(AND($N$8=2,$N$20=4),U33,IF(AND($N$8=2,$N$20=5),V33,IF(AND($N$8=2,$N$20=11),W33,IF(AND($N$8=2,$N$20=7),X33,IF(AND($N$8=2,$N$20=3),Y33,IF(AND($N$8=2,$N$20=6),Z33,IF(AND($N$8=2,$N$20=9),AA33,IF(AND($N$8=2,$N$20=2),AB33,IF(AND($N$8=2,$N$20=8),AC33,IF(AND($N$8=1,$N$20=1),AD33,IF(AND($N$8=1,$N$20=1),AD33,IF(AND($N$8=1,$N$20=4),AE33,IF(AND($N$8=1,$N$20=5),AF33,IF(AND($N$8=1,$N$20=11),AG33,IF(AND($N$8=1,$N$20=7),AH33,IF(AND($N$8=1,$N$20=3),AI33,IF(AND($N$8=1,$N$20=6),AJ33,IF(AND($N$8=1,$N$20=9),AK33,IF(AND($N$8=1,$N$20=2),AL33,IF(AND($N$8=1,$N$20=8),AM33,0)))))))))))))))))))))</f>
        <v>0</v>
      </c>
      <c r="E33" s="264" t="str">
        <f>VLOOKUP("PREFA Ortgangstreifen (95 x 2.000 x 0,70 mm)",Sprachindex!A:Z,Info!$O$6,FALSE)</f>
        <v>PREFA Ortgangstreifen (95 x 2.000 x 0,70 mm)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38"/>
      <c r="O33" s="1"/>
      <c r="P33" s="11"/>
      <c r="Q33" s="11" t="str">
        <f>ROUNDUP(A33/2,0)*2 &amp;" " &amp; VLOOKUP("lfm",Sprachindex!A:Z,Info!$O$6,FALSE)</f>
        <v>0 lfm</v>
      </c>
      <c r="T33" s="72">
        <v>110500</v>
      </c>
      <c r="U33" s="72">
        <v>110501</v>
      </c>
      <c r="V33" s="72">
        <v>110502</v>
      </c>
      <c r="W33" s="72">
        <v>110503</v>
      </c>
      <c r="X33" s="72">
        <v>110504</v>
      </c>
      <c r="Y33" s="72">
        <v>110505</v>
      </c>
      <c r="Z33" s="72">
        <v>110506</v>
      </c>
      <c r="AA33" s="72">
        <v>110507</v>
      </c>
      <c r="AB33" s="72">
        <v>110508</v>
      </c>
      <c r="AC33" s="72">
        <v>564001</v>
      </c>
      <c r="AD33" s="72">
        <v>110510</v>
      </c>
      <c r="AE33" s="72">
        <v>110511</v>
      </c>
      <c r="AF33" s="72">
        <v>110512</v>
      </c>
      <c r="AG33" s="72">
        <v>110513</v>
      </c>
      <c r="AH33" s="72">
        <v>110514</v>
      </c>
      <c r="AI33" s="72">
        <v>110515</v>
      </c>
      <c r="AJ33" s="72">
        <v>110516</v>
      </c>
      <c r="AK33" s="72">
        <v>110517</v>
      </c>
      <c r="AL33" s="72">
        <v>110518</v>
      </c>
    </row>
    <row r="34" spans="1:439" ht="32.1" customHeight="1">
      <c r="A34" s="164"/>
      <c r="B34" s="137" t="str">
        <f>VLOOKUP("lfm",Sprachindex!A:Z,Info!$O$6,FALSE)</f>
        <v>lfm</v>
      </c>
      <c r="C34" s="135"/>
      <c r="D34" s="136">
        <f t="shared" si="1"/>
        <v>0</v>
      </c>
      <c r="E34" s="264" t="str">
        <f>VLOOKUP("PREFA Sicherheitskehle stucco (3.000 mm lang)",Sprachindex!A:Z,Info!$O$6,FALSE)</f>
        <v>PREFA Sicherheitskehle stucco (3.000 mm lang)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38"/>
      <c r="O34" s="1"/>
      <c r="P34" s="11"/>
      <c r="Q34" s="11" t="str">
        <f>ROUNDUP(A34/3,0)*3 &amp;" " &amp; VLOOKUP("lfm",Sprachindex!A:Z,Info!$O$6,FALSE)</f>
        <v>0 lfm</v>
      </c>
      <c r="T34" s="72">
        <v>110520</v>
      </c>
      <c r="U34" s="72">
        <v>110521</v>
      </c>
      <c r="V34" s="72">
        <v>110522</v>
      </c>
      <c r="W34" s="72">
        <v>110523</v>
      </c>
      <c r="X34" s="72">
        <v>110524</v>
      </c>
      <c r="Y34" s="72">
        <v>110525</v>
      </c>
      <c r="Z34" s="72">
        <v>110526</v>
      </c>
      <c r="AA34" s="72">
        <v>110527</v>
      </c>
      <c r="AB34" s="72">
        <v>110528</v>
      </c>
      <c r="AD34" s="72">
        <v>110530</v>
      </c>
      <c r="AE34" s="72">
        <v>110531</v>
      </c>
      <c r="AF34" s="72">
        <v>110532</v>
      </c>
      <c r="AG34" s="72">
        <v>110533</v>
      </c>
      <c r="AH34" s="72">
        <v>110534</v>
      </c>
      <c r="AI34" s="72">
        <v>110535</v>
      </c>
      <c r="AJ34" s="72">
        <v>110536</v>
      </c>
      <c r="AK34" s="72">
        <v>110537</v>
      </c>
      <c r="AL34" s="72">
        <v>110538</v>
      </c>
    </row>
    <row r="35" spans="1:439" ht="32.1" customHeight="1">
      <c r="A35" s="164"/>
      <c r="B35" s="137" t="str">
        <f>VLOOKUP("lfm",Sprachindex!A:Z,Info!$O$6,FALSE)</f>
        <v>lfm</v>
      </c>
      <c r="C35" s="135"/>
      <c r="D35" s="136">
        <f t="shared" si="1"/>
        <v>0</v>
      </c>
      <c r="E35" s="264" t="str">
        <f>VLOOKUP("PREFA Grat- und Firstreiter 500 x 1,00 mm stucco
inkl. Niro Schraube 4,5x45mm und Dichscheibe",Sprachindex!A:Z,Info!$O$6,FALSE)</f>
        <v>PREFA Grat- und Firstreiter 500 x 1,00 mm stucco
inkl. Niro Schraube 4,5x45mm und Dichscheibe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38"/>
      <c r="O35" s="1"/>
      <c r="P35" s="11"/>
      <c r="Q35" s="11" t="str">
        <f>ROUNDUP(A35/1,0)*1 &amp;" " &amp; VLOOKUP("lfm",Sprachindex!A:Z,Info!$O$6,FALSE)</f>
        <v>0 lfm</v>
      </c>
      <c r="T35" s="72">
        <v>110340</v>
      </c>
      <c r="U35" s="72">
        <v>110341</v>
      </c>
      <c r="V35" s="72">
        <v>110342</v>
      </c>
      <c r="W35" s="72">
        <v>110343</v>
      </c>
      <c r="X35" s="72">
        <v>110344</v>
      </c>
      <c r="Y35" s="72">
        <v>110345</v>
      </c>
      <c r="Z35" s="72">
        <v>110346</v>
      </c>
      <c r="AA35" s="72">
        <v>110347</v>
      </c>
      <c r="AB35" s="72">
        <v>110348</v>
      </c>
      <c r="AC35" s="72">
        <v>567002</v>
      </c>
      <c r="AD35" s="72">
        <v>110350</v>
      </c>
      <c r="AE35" s="72">
        <v>110351</v>
      </c>
      <c r="AF35" s="72">
        <v>110352</v>
      </c>
      <c r="AG35" s="72">
        <v>110353</v>
      </c>
      <c r="AH35" s="72">
        <v>110354</v>
      </c>
      <c r="AI35" s="72">
        <v>110355</v>
      </c>
      <c r="AJ35" s="72">
        <v>110356</v>
      </c>
      <c r="AK35" s="72">
        <v>110357</v>
      </c>
      <c r="AL35" s="72">
        <v>110358</v>
      </c>
    </row>
    <row r="36" spans="1:439" ht="32.1" customHeight="1">
      <c r="A36" s="164"/>
      <c r="B36" s="137" t="str">
        <f>VLOOKUP("Stk",Sprachindex!A:Z,Info!$O$6,FALSE)</f>
        <v>STK</v>
      </c>
      <c r="C36" s="135"/>
      <c r="D36" s="136">
        <f t="shared" si="1"/>
        <v>0</v>
      </c>
      <c r="E36" s="264" t="str">
        <f>VLOOKUP("PREFA Grat-/Firstreiter Anfangs-/Endstück stucco",Sprachindex!A:Z,Info!$O$6,FALSE)</f>
        <v>PREFA Grat-/Firstreiter Anfangs-/Endstück stucco</v>
      </c>
      <c r="F36" s="265"/>
      <c r="G36" s="265"/>
      <c r="H36" s="265"/>
      <c r="I36" s="265"/>
      <c r="J36" s="265"/>
      <c r="K36" s="266"/>
      <c r="L36" s="137" t="str">
        <f t="shared" si="0"/>
        <v/>
      </c>
      <c r="M36" s="138"/>
      <c r="O36" s="1"/>
      <c r="P36" s="11"/>
      <c r="Q36" s="11" t="str">
        <f>ROUNDUP(A36/1,0)*1 &amp;" " &amp; VLOOKUP("Stk",Sprachindex!A:Z,Info!$O$6,FALSE)</f>
        <v>0 STK</v>
      </c>
      <c r="T36" s="72">
        <v>110320</v>
      </c>
      <c r="U36" s="72">
        <v>110321</v>
      </c>
      <c r="V36" s="72">
        <v>110322</v>
      </c>
      <c r="W36" s="72">
        <v>110323</v>
      </c>
      <c r="X36" s="72">
        <v>110324</v>
      </c>
      <c r="Y36" s="72">
        <v>110325</v>
      </c>
      <c r="Z36" s="72">
        <v>110326</v>
      </c>
      <c r="AA36" s="72">
        <v>110327</v>
      </c>
      <c r="AB36" s="72">
        <v>110328</v>
      </c>
      <c r="AC36" s="72">
        <v>517150</v>
      </c>
      <c r="AD36" s="72">
        <v>110330</v>
      </c>
      <c r="AE36" s="72">
        <v>110331</v>
      </c>
      <c r="AF36" s="72">
        <v>110332</v>
      </c>
      <c r="AG36" s="72">
        <v>110333</v>
      </c>
      <c r="AH36" s="72">
        <v>110334</v>
      </c>
      <c r="AI36" s="72">
        <v>110335</v>
      </c>
      <c r="AJ36" s="72">
        <v>110336</v>
      </c>
      <c r="AK36" s="72">
        <v>110337</v>
      </c>
      <c r="AL36" s="72">
        <v>110338</v>
      </c>
      <c r="AM36" s="72">
        <v>517170</v>
      </c>
    </row>
    <row r="37" spans="1:439" ht="32.1" customHeight="1">
      <c r="A37" s="164"/>
      <c r="B37" s="137" t="str">
        <f>VLOOKUP("lfm",Sprachindex!A:Z,Info!$O$6,FALSE)</f>
        <v>lfm</v>
      </c>
      <c r="C37" s="135"/>
      <c r="D37" s="136">
        <f t="shared" si="1"/>
        <v>0</v>
      </c>
      <c r="E37" s="264" t="str">
        <f>VLOOKUP("PREFA Jet-Lüfter stucco (1.200mm) inkl. Niro Schr. u.Dichtsch.",Sprachindex!A:Z,Info!$O$6,FALSE)</f>
        <v>PREFA Jet-Lüfter stucco (1.200mm) inkl. Niro Schr. u.Dichtsch.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38"/>
      <c r="O37" s="1"/>
      <c r="P37" s="11"/>
      <c r="Q37" s="11" t="str">
        <f>ROUNDUP(A37/1.2,0)*1.2 &amp;" " &amp; VLOOKUP("lfm",Sprachindex!A:Z,Info!$O$6,FALSE)</f>
        <v>0 lfm</v>
      </c>
      <c r="T37" s="72">
        <v>110640</v>
      </c>
      <c r="U37" s="72">
        <v>110641</v>
      </c>
      <c r="V37" s="72">
        <v>110642</v>
      </c>
      <c r="W37" s="72">
        <v>110643</v>
      </c>
      <c r="X37" s="72">
        <v>110644</v>
      </c>
      <c r="Y37" s="72">
        <v>110645</v>
      </c>
      <c r="Z37" s="72">
        <v>110646</v>
      </c>
      <c r="AA37" s="72">
        <v>110647</v>
      </c>
      <c r="AB37" s="72">
        <v>110648</v>
      </c>
      <c r="AC37" s="72">
        <v>570160</v>
      </c>
      <c r="AD37" s="72">
        <v>110650</v>
      </c>
      <c r="AE37" s="72">
        <v>110651</v>
      </c>
      <c r="AF37" s="72">
        <v>110652</v>
      </c>
      <c r="AG37" s="72">
        <v>110653</v>
      </c>
      <c r="AH37" s="72">
        <v>110654</v>
      </c>
      <c r="AI37" s="72">
        <v>110655</v>
      </c>
      <c r="AJ37" s="72">
        <v>110656</v>
      </c>
      <c r="AK37" s="72">
        <v>110657</v>
      </c>
      <c r="AL37" s="72">
        <v>110658</v>
      </c>
      <c r="AM37" s="72">
        <v>570140</v>
      </c>
    </row>
    <row r="38" spans="1:439" ht="32.1" customHeight="1">
      <c r="A38" s="164"/>
      <c r="B38" s="137" t="str">
        <f>VLOOKUP("lfm",Sprachindex!A:Z,Info!$O$6,FALSE)</f>
        <v>lfm</v>
      </c>
      <c r="C38" s="135"/>
      <c r="D38" s="136">
        <f t="shared" si="1"/>
        <v>0</v>
      </c>
      <c r="E38" s="264" t="str">
        <f>VLOOKUP("PREFA Jet-Lüfter stucco (3.000mm) inkl. Niro Schr. u.Dichtsch.",Sprachindex!A:Z,Info!$O$6,FALSE)</f>
        <v>PREFA Jet-Lüfter stucco (3.000mm) inkl. Niro Schr. u.Dichtsch.</v>
      </c>
      <c r="F38" s="265"/>
      <c r="G38" s="265"/>
      <c r="H38" s="265"/>
      <c r="I38" s="265"/>
      <c r="J38" s="265"/>
      <c r="K38" s="266"/>
      <c r="L38" s="137" t="str">
        <f t="shared" si="0"/>
        <v/>
      </c>
      <c r="M38" s="138"/>
      <c r="O38" s="1"/>
      <c r="P38" s="11"/>
      <c r="Q38" s="11" t="str">
        <f>ROUNDUP(A38/3,0)*3 &amp;" " &amp; VLOOKUP("lfm",Sprachindex!A:Z,Info!$O$6,FALSE)</f>
        <v>0 lfm</v>
      </c>
      <c r="T38" s="72">
        <v>110620</v>
      </c>
      <c r="U38" s="72">
        <v>110621</v>
      </c>
      <c r="V38" s="72">
        <v>110622</v>
      </c>
      <c r="W38" s="72">
        <v>110623</v>
      </c>
      <c r="X38" s="72">
        <v>110624</v>
      </c>
      <c r="Y38" s="72">
        <v>110625</v>
      </c>
      <c r="Z38" s="72">
        <v>110626</v>
      </c>
      <c r="AA38" s="72">
        <v>110627</v>
      </c>
      <c r="AB38" s="72">
        <v>110628</v>
      </c>
      <c r="AC38" s="72">
        <v>570040</v>
      </c>
      <c r="AD38" s="72">
        <v>110630</v>
      </c>
      <c r="AE38" s="72">
        <v>110631</v>
      </c>
      <c r="AF38" s="72">
        <v>110632</v>
      </c>
      <c r="AG38" s="72">
        <v>110633</v>
      </c>
      <c r="AH38" s="72">
        <v>110634</v>
      </c>
      <c r="AI38" s="72">
        <v>110635</v>
      </c>
      <c r="AJ38" s="72">
        <v>110636</v>
      </c>
      <c r="AK38" s="72">
        <v>110637</v>
      </c>
      <c r="AL38" s="72">
        <v>110638</v>
      </c>
      <c r="AM38" s="72">
        <v>570060</v>
      </c>
    </row>
    <row r="39" spans="1:439" ht="32.1" customHeight="1">
      <c r="A39" s="164"/>
      <c r="B39" s="137" t="str">
        <f>VLOOKUP("Stk",Sprachindex!A:Z,Info!$O$6,FALSE)</f>
        <v>STK</v>
      </c>
      <c r="C39" s="135"/>
      <c r="D39" s="136">
        <f t="shared" si="1"/>
        <v>0</v>
      </c>
      <c r="E39" s="264" t="str">
        <f>VLOOKUP("PREFA Jet-Lüfter-Endstück stucco",Sprachindex!A:Z,Info!$O$6,FALSE)</f>
        <v>PREFA Jet-Lüfter-Endstück stucco</v>
      </c>
      <c r="F39" s="265"/>
      <c r="G39" s="265"/>
      <c r="H39" s="265"/>
      <c r="I39" s="265"/>
      <c r="J39" s="265"/>
      <c r="K39" s="266"/>
      <c r="L39" s="137" t="str">
        <f t="shared" si="0"/>
        <v/>
      </c>
      <c r="M39" s="138"/>
      <c r="O39" s="1"/>
      <c r="P39" s="11"/>
      <c r="Q39" s="11" t="str">
        <f>ROUNDUP(A39/1,0)*1 &amp;" " &amp; VLOOKUP("Stk",Sprachindex!A:Z,Info!$O$6,FALSE)</f>
        <v>0 STK</v>
      </c>
      <c r="T39" s="72">
        <v>110600</v>
      </c>
      <c r="U39" s="72">
        <v>110601</v>
      </c>
      <c r="V39" s="72">
        <v>110602</v>
      </c>
      <c r="W39" s="72">
        <v>110603</v>
      </c>
      <c r="X39" s="72">
        <v>110604</v>
      </c>
      <c r="Y39" s="72">
        <v>110605</v>
      </c>
      <c r="Z39" s="72">
        <v>110606</v>
      </c>
      <c r="AA39" s="72">
        <v>110607</v>
      </c>
      <c r="AB39" s="72">
        <v>110608</v>
      </c>
      <c r="AC39" s="72">
        <v>510030</v>
      </c>
      <c r="AD39" s="72">
        <v>110610</v>
      </c>
      <c r="AE39" s="72">
        <v>110611</v>
      </c>
      <c r="AF39" s="72">
        <v>110612</v>
      </c>
      <c r="AG39" s="72">
        <v>110613</v>
      </c>
      <c r="AH39" s="72">
        <v>110614</v>
      </c>
      <c r="AI39" s="72">
        <v>110615</v>
      </c>
      <c r="AJ39" s="72">
        <v>110616</v>
      </c>
      <c r="AK39" s="72">
        <v>110617</v>
      </c>
      <c r="AL39" s="72">
        <v>110618</v>
      </c>
      <c r="AM39" s="72">
        <v>510060</v>
      </c>
    </row>
    <row r="40" spans="1:439" ht="32.1" customHeight="1">
      <c r="A40" s="164"/>
      <c r="B40" s="137" t="str">
        <f>VLOOKUP("Stk",Sprachindex!A:Z,Info!$O$6,FALSE)</f>
        <v>STK</v>
      </c>
      <c r="C40" s="135"/>
      <c r="D40" s="136">
        <f>IF(H40=Formeln!A15,IF($N$20=1,T40,IF($N$20=4,U40,IF($N$20=5,V40,IF($N$20=11,W40,IF($N$20=7,X40,IF($N$20=3,Y40,IF($N$20=6,Z40,IF($N$20=9,AA40,IF($N$20=2,AB40,IF($N$20=8,AC40,0)))))))))),IF(H40=Formeln!A16,AC40,0))</f>
        <v>0</v>
      </c>
      <c r="E40" s="264" t="str">
        <f>VLOOKUP("Niro-Schraube mit Dichtscheibe für Grat-/Firstreiter",Sprachindex!A:Z,Info!$O$6,FALSE)</f>
        <v>Niro-Schraube mit Dichtscheibe für Grat-/Firstreiter</v>
      </c>
      <c r="F40" s="265"/>
      <c r="G40" s="265"/>
      <c r="H40" s="269"/>
      <c r="I40" s="270"/>
      <c r="J40" s="270"/>
      <c r="K40" s="271"/>
      <c r="L40" s="137" t="str">
        <f t="shared" si="0"/>
        <v/>
      </c>
      <c r="M40" s="138"/>
      <c r="O40" s="1"/>
      <c r="P40" s="11"/>
      <c r="Q40" s="11" t="str">
        <f>ROUNDUP(A40/250,0)*250 &amp;" " &amp; VLOOKUP("Stk",Sprachindex!A:Z,Info!$O$6,FALSE)</f>
        <v>0 STK</v>
      </c>
      <c r="T40" s="72">
        <v>340001</v>
      </c>
      <c r="U40" s="72">
        <v>340004</v>
      </c>
      <c r="V40" s="72">
        <v>340003</v>
      </c>
      <c r="W40" s="72">
        <v>340104</v>
      </c>
      <c r="Y40" s="72">
        <v>340002</v>
      </c>
      <c r="Z40" s="72">
        <v>340016</v>
      </c>
      <c r="AA40" s="72">
        <v>340011</v>
      </c>
      <c r="AC40" s="72">
        <v>340103</v>
      </c>
    </row>
    <row r="41" spans="1:439" ht="32.1" customHeight="1">
      <c r="A41" s="164"/>
      <c r="B41" s="137" t="str">
        <f>VLOOKUP("Stk",Sprachindex!A:Z,Info!$O$6,FALSE)</f>
        <v>STK</v>
      </c>
      <c r="C41" s="135"/>
      <c r="D41" s="136">
        <f>IF(H41=Formeln!A18,IF($N$20=1,T41,IF($N$20=4,U41,IF($N$20=5,V41,IF($N$20=11,W41,IF($N$20=7,X41,IF($N$20=3,Y41,IF($N$20=6,Z41,IF($N$20=9,AA41,IF($N$20=2,AB41,IF($N$20=8,AC41,0)))))))))),IF(H41=Formeln!A19,AC41,0))</f>
        <v>0</v>
      </c>
      <c r="E41" s="264" t="str">
        <f>VLOOKUP("Niro-Schraube mit Dichtscheibe für Jet-Lüfter",Sprachindex!A:Z,Info!$O$6,FALSE)</f>
        <v>Niro-Schraube mit Dichtscheibe für Jet-Lüfter</v>
      </c>
      <c r="F41" s="265"/>
      <c r="G41" s="265"/>
      <c r="H41" s="269"/>
      <c r="I41" s="270"/>
      <c r="J41" s="270"/>
      <c r="K41" s="271"/>
      <c r="L41" s="137" t="str">
        <f t="shared" si="0"/>
        <v/>
      </c>
      <c r="M41" s="138"/>
      <c r="O41" s="1"/>
      <c r="P41" s="11"/>
      <c r="Q41" s="11" t="str">
        <f>ROUNDUP(A41/100,0)*100 &amp;" " &amp; VLOOKUP("Stk",Sprachindex!A:Z,Info!$O$6,FALSE)</f>
        <v>0 STK</v>
      </c>
      <c r="T41" s="72">
        <v>340020</v>
      </c>
      <c r="U41" s="72">
        <v>340024</v>
      </c>
      <c r="V41" s="72">
        <v>340022</v>
      </c>
      <c r="W41" s="72">
        <v>340021</v>
      </c>
      <c r="Y41" s="72">
        <v>340025</v>
      </c>
      <c r="Z41" s="72">
        <v>340032</v>
      </c>
      <c r="AA41" s="72">
        <v>340027</v>
      </c>
      <c r="AC41" s="72">
        <v>340106</v>
      </c>
    </row>
    <row r="42" spans="1:439" ht="32.1" customHeight="1">
      <c r="A42" s="164"/>
      <c r="B42" s="137" t="str">
        <f>VLOOKUP("Stk",Sprachindex!A:Z,Info!$O$6,FALSE)</f>
        <v>STK</v>
      </c>
      <c r="C42" s="135"/>
      <c r="D42" s="136">
        <f>IF($N$20=1,T42,IF($N$20=4,U42,IF($N$20=5,V42,IF($N$20=11,W42,IF($N$20=7,X42,IF($N$20=3,Y42,IF($N$20=6,Z42,IF($N$20=9,AA42,IF($N$20=2,AB42,IF($N$20=8,AC42,0))))))))))</f>
        <v>0</v>
      </c>
      <c r="E42" s="264" t="str">
        <f>VLOOKUP("PREFA Froschmaulluken-Haube zum aufnieten glatt
Lüftungsquerschnitt ca. 30 cm²",Sprachindex!A:Z,Info!$O$6,FALSE)</f>
        <v>PREFA Froschmaulluken-Haube zum aufnieten glatt
Lüftungsquerschnitt ca. 30 cm²</v>
      </c>
      <c r="F42" s="265"/>
      <c r="G42" s="265"/>
      <c r="H42" s="265"/>
      <c r="I42" s="265"/>
      <c r="J42" s="265"/>
      <c r="K42" s="266"/>
      <c r="L42" s="137" t="str">
        <f t="shared" si="0"/>
        <v/>
      </c>
      <c r="M42" s="138"/>
      <c r="O42" s="1"/>
      <c r="P42" s="11"/>
      <c r="Q42" s="11" t="str">
        <f>ROUNDUP(A42/1,0)*1 &amp;" " &amp; VLOOKUP("Stk",Sprachindex!A:Z,Info!$O$6,FALSE)</f>
        <v>0 STK</v>
      </c>
      <c r="T42" s="72">
        <v>110100</v>
      </c>
      <c r="U42" s="72">
        <v>110101</v>
      </c>
      <c r="V42" s="72">
        <v>110102</v>
      </c>
      <c r="W42" s="72">
        <v>110103</v>
      </c>
      <c r="X42" s="72">
        <v>110104</v>
      </c>
      <c r="Y42" s="72">
        <v>110105</v>
      </c>
      <c r="Z42" s="72">
        <v>110106</v>
      </c>
      <c r="AA42" s="72">
        <v>110107</v>
      </c>
      <c r="AB42" s="72">
        <v>110108</v>
      </c>
      <c r="AC42" s="72">
        <v>512014</v>
      </c>
    </row>
    <row r="43" spans="1:439" ht="32.1" customHeight="1">
      <c r="A43" s="164"/>
      <c r="B43" s="137" t="str">
        <f>VLOOKUP("Stk",Sprachindex!A:Z,Info!$O$6,FALSE)</f>
        <v>STK</v>
      </c>
      <c r="C43" s="135"/>
      <c r="D43" s="142">
        <v>537730</v>
      </c>
      <c r="E43" s="264" t="str">
        <f>VLOOKUP("PREFA Dachluke (600x600 mm) komplett mit Holzrahmen",Sprachindex!A:Z,Info!$O$6,FALSE)</f>
        <v>PREFA Dachluke (600x600 mm) komplett mit Holzrahmen</v>
      </c>
      <c r="F43" s="265"/>
      <c r="G43" s="265"/>
      <c r="H43" s="265"/>
      <c r="I43" s="143"/>
      <c r="J43" s="143"/>
      <c r="K43" s="144"/>
      <c r="L43" s="137" t="str">
        <f t="shared" si="0"/>
        <v/>
      </c>
      <c r="M43" s="138"/>
      <c r="O43" s="1"/>
      <c r="P43" s="11"/>
      <c r="Q43" s="11" t="str">
        <f>ROUNDUP(A43/1,0)*1 &amp;" " &amp; VLOOKUP("Stk",Sprachindex!A:Z,Info!$O$6,FALSE)</f>
        <v>0 STK</v>
      </c>
      <c r="T43" s="75" t="s">
        <v>1554</v>
      </c>
      <c r="U43" s="75" t="s">
        <v>1555</v>
      </c>
      <c r="V43" s="75" t="s">
        <v>1556</v>
      </c>
      <c r="W43" s="75" t="s">
        <v>1557</v>
      </c>
      <c r="X43" s="75" t="s">
        <v>1558</v>
      </c>
      <c r="Y43" s="75" t="s">
        <v>1559</v>
      </c>
      <c r="Z43" s="75" t="s">
        <v>1560</v>
      </c>
      <c r="AA43" s="75" t="s">
        <v>1561</v>
      </c>
      <c r="AB43" s="75" t="s">
        <v>1562</v>
      </c>
      <c r="AC43" s="75" t="s">
        <v>1563</v>
      </c>
      <c r="AD43" s="75" t="s">
        <v>1554</v>
      </c>
      <c r="AE43" s="75" t="s">
        <v>1555</v>
      </c>
      <c r="AF43" s="75" t="s">
        <v>1556</v>
      </c>
      <c r="AG43" s="75" t="s">
        <v>1557</v>
      </c>
      <c r="AH43" s="75" t="s">
        <v>1558</v>
      </c>
      <c r="AI43" s="75" t="s">
        <v>1559</v>
      </c>
      <c r="AJ43" s="75" t="s">
        <v>1560</v>
      </c>
      <c r="AK43" s="75" t="s">
        <v>1561</v>
      </c>
      <c r="AL43" s="75" t="s">
        <v>1562</v>
      </c>
      <c r="AM43" s="75" t="s">
        <v>1563</v>
      </c>
    </row>
    <row r="44" spans="1:439" ht="32.1" customHeight="1">
      <c r="A44" s="164"/>
      <c r="B44" s="137" t="str">
        <f>VLOOKUP("Stk",Sprachindex!A:Z,Info!$O$6,FALSE)</f>
        <v>STK</v>
      </c>
      <c r="C44" s="135"/>
      <c r="D44" s="136">
        <f>IF(J44=Formeln!A28,AM44,IF(J44=Formeln!A29,BG44,IF(J44=Formeln!A30,CA44,IF(J44=Formeln!A31,CU44,IF(J44=Formeln!A32,DO44,IF(J44=Formeln!A33,EI44,IF(J44=Formeln!A34,FC44,IF(J44=Formeln!A35,FW44,IF(J44=Formeln!A36,GQ44,IF(J44=Formeln!A37,HK44,IF(J44=Formeln!A38,IE44,IF(J44=Formeln!A39,IY44,IF(J44=Formeln!A40,JS44,IF(J44=Formeln!A41,KM44,IF(J44=Formeln!A44,LG44,IF(J44=Formeln!A43,MA44,IF(J44=Formeln!A44,MU44,IF(J44=Formeln!A44,NO44,IF(J44=Formeln!A44,OI44,IF(J44=Formeln!A47,PC44,IF(J44=Formeln!A48,PW44,0)))))))))))))))))))))</f>
        <v>0</v>
      </c>
      <c r="E44" s="264" t="str">
        <f>VLOOKUP("PREFA Einfassung für Velux-Dachflächenfenster stucco",Sprachindex!A:Z,Info!$O$6,FALSE)</f>
        <v>PREFA Einfassung für Velux-Dachflächenfenster stucco</v>
      </c>
      <c r="F44" s="265"/>
      <c r="G44" s="265"/>
      <c r="H44" s="265"/>
      <c r="I44" s="145" t="str">
        <f>VLOOKUP("Maße:",Sprachindex!A:Z,Info!$O$6,FALSE)</f>
        <v>Maße:</v>
      </c>
      <c r="J44" s="269"/>
      <c r="K44" s="270"/>
      <c r="L44" s="137" t="str">
        <f t="shared" si="0"/>
        <v/>
      </c>
      <c r="M44" s="138"/>
      <c r="O44" s="1"/>
      <c r="P44" s="11"/>
      <c r="Q44" s="11" t="str">
        <f>ROUNDUP(A44/1,0)*1 &amp;" " &amp; VLOOKUP("Stk",Sprachindex!A:Z,Info!$O$6,FALSE)</f>
        <v>0 STK</v>
      </c>
      <c r="T44" s="72">
        <v>111110</v>
      </c>
      <c r="U44" s="76">
        <v>111111</v>
      </c>
      <c r="V44" s="76">
        <v>111112</v>
      </c>
      <c r="W44" s="76">
        <v>111113</v>
      </c>
      <c r="X44" s="76">
        <v>111114</v>
      </c>
      <c r="Y44" s="76">
        <v>111115</v>
      </c>
      <c r="Z44" s="76">
        <v>111116</v>
      </c>
      <c r="AA44" s="76">
        <v>111117</v>
      </c>
      <c r="AB44" s="76">
        <v>111118</v>
      </c>
      <c r="AD44" s="76">
        <v>111100</v>
      </c>
      <c r="AE44" s="76">
        <v>111101</v>
      </c>
      <c r="AF44" s="76">
        <v>111102</v>
      </c>
      <c r="AG44" s="76">
        <v>111103</v>
      </c>
      <c r="AH44" s="76">
        <v>111104</v>
      </c>
      <c r="AI44" s="76">
        <v>111105</v>
      </c>
      <c r="AJ44" s="76">
        <v>111106</v>
      </c>
      <c r="AK44" s="76">
        <v>111107</v>
      </c>
      <c r="AL44" s="76">
        <v>111108</v>
      </c>
      <c r="AM44" s="78">
        <f>IF(AND($N$8=2,$N$20=1),T44,IF(AND($N$8=2,$N$20=4),U44,IF(AND($N$8=2,$N$20=5),V44,IF(AND($N$8=2,$N$20=11),W44,IF(AND($N$8=2,$N$20=7),X44,IF(AND($N$8=2,$N$20=3),Y44,IF(AND($N$8=2,$N$20=6),Z44,IF(AND($N$8=2,$N$20=9),AA44,IF(AND($N$8=2,$N$20=2),AB44,IF(AND($N$8=2,$N$20=8),AC44,IF(AND($N$8=1,$N$20=1),AD44,IF(AND($N$8=1,$N$20=1),AD44,IF(AND($N$8=1,$N$20=4),AE44,IF(AND($N$8=1,$N$20=5),AF44,IF(AND($N$8=1,$N$20=11),AG44,IF(AND($N$8=1,$N$20=7),AH44,IF(AND($N$8=1,$N$20=3),AI44,IF(AND($N$8=1,$N$20=6),AJ44,IF(AND($N$8=1,$N$20=9),AK44,IF(AND($N$8=1,$N$20=2),AL44,0))))))))))))))))))))</f>
        <v>0</v>
      </c>
      <c r="AN44" s="77">
        <v>111110</v>
      </c>
      <c r="AO44" s="76">
        <v>111111</v>
      </c>
      <c r="AP44" s="76">
        <v>111112</v>
      </c>
      <c r="AQ44" s="76">
        <v>111113</v>
      </c>
      <c r="AR44" s="76">
        <v>111114</v>
      </c>
      <c r="AS44" s="76">
        <v>111115</v>
      </c>
      <c r="AT44" s="76">
        <v>111116</v>
      </c>
      <c r="AU44" s="76">
        <v>111117</v>
      </c>
      <c r="AV44" s="76">
        <v>111118</v>
      </c>
      <c r="AX44" s="76">
        <v>111100</v>
      </c>
      <c r="AY44" s="76">
        <v>111101</v>
      </c>
      <c r="AZ44" s="76">
        <v>111102</v>
      </c>
      <c r="BA44" s="76">
        <v>111103</v>
      </c>
      <c r="BB44" s="76">
        <v>111104</v>
      </c>
      <c r="BC44" s="76">
        <v>111105</v>
      </c>
      <c r="BD44" s="76">
        <v>111106</v>
      </c>
      <c r="BE44" s="76">
        <v>111107</v>
      </c>
      <c r="BF44" s="76">
        <v>111108</v>
      </c>
      <c r="BG44" s="78">
        <f>IF(AND($N$8=2,$N$20=1),AN44,IF(AND($N$8=2,$N$20=4),AO44,IF(AND($N$8=2,$N$20=5),AP44,IF(AND($N$8=2,$N$20=11),AQ44,IF(AND($N$8=2,$N$20=7),AR44,IF(AND($N$8=2,$N$20=3),AS44,IF(AND($N$8=2,$N$20=6),AT44,IF(AND($N$8=2,$N$20=9),AU44,IF(AND($N$8=2,$N$20=2),AV44,IF(AND($N$8=2,$N$20=8),AW44,IF(AND($N$8=1,$N$20=1),AX44,IF(AND($N$8=1,$N$20=1),AX44,IF(AND($N$8=1,$N$20=4),AY44,IF(AND($N$8=1,$N$20=5),AZ44,IF(AND($N$8=1,$N$20=11),BA44,IF(AND($N$8=1,$N$20=7),BB44,IF(AND($N$8=1,$N$20=3),BC44,IF(AND($N$8=1,$N$20=6),BD44,IF(AND($N$8=1,$N$20=9),BE44,IF(AND($N$8=1,$N$20=2),BF44,0))))))))))))))))))))</f>
        <v>0</v>
      </c>
      <c r="BH44" s="77">
        <v>111110</v>
      </c>
      <c r="BI44" s="76">
        <v>111111</v>
      </c>
      <c r="BJ44" s="76">
        <v>111112</v>
      </c>
      <c r="BK44" s="76">
        <v>111113</v>
      </c>
      <c r="BL44" s="76">
        <v>111114</v>
      </c>
      <c r="BM44" s="76">
        <v>111115</v>
      </c>
      <c r="BN44" s="76">
        <v>111116</v>
      </c>
      <c r="BO44" s="76">
        <v>111117</v>
      </c>
      <c r="BP44" s="76">
        <v>111118</v>
      </c>
      <c r="BR44" s="76">
        <v>111100</v>
      </c>
      <c r="BS44" s="76">
        <v>111101</v>
      </c>
      <c r="BT44" s="76">
        <v>111102</v>
      </c>
      <c r="BU44" s="76">
        <v>111103</v>
      </c>
      <c r="BV44" s="76">
        <v>111104</v>
      </c>
      <c r="BW44" s="76">
        <v>111105</v>
      </c>
      <c r="BX44" s="76">
        <v>111106</v>
      </c>
      <c r="BY44" s="76">
        <v>111107</v>
      </c>
      <c r="BZ44" s="76">
        <v>111108</v>
      </c>
      <c r="CA44" s="78">
        <f>IF(AND($N$8=2,$N$20=1),BH44,IF(AND($N$8=2,$N$20=4),BI44,IF(AND($N$8=2,$N$20=5),BJ44,IF(AND($N$8=2,$N$20=11),BK44,IF(AND($N$8=2,$N$20=7),BL44,IF(AND($N$8=2,$N$20=3),BM44,IF(AND($N$8=2,$N$20=6),BN44,IF(AND($N$8=2,$N$20=9),BO44,IF(AND($N$8=2,$N$20=2),BP44,IF(AND($N$8=2,$N$20=8),BQ44,IF(AND($N$8=1,$N$20=1),BR44,IF(AND($N$8=1,$N$20=1),BR44,IF(AND($N$8=1,$N$20=4),BS44,IF(AND($N$8=1,$N$20=5),BT44,IF(AND($N$8=1,$N$20=11),BU44,IF(AND($N$8=1,$N$20=7),BV44,IF(AND($N$8=1,$N$20=3),BW44,IF(AND($N$8=1,$N$20=6),BX44,IF(AND($N$8=1,$N$20=9),BY44,IF(AND($N$8=1,$N$20=2),BZ44,0))))))))))))))))))))</f>
        <v>0</v>
      </c>
      <c r="CB44" s="77">
        <v>111130</v>
      </c>
      <c r="CC44" s="72">
        <v>111131</v>
      </c>
      <c r="CD44" s="72">
        <v>111132</v>
      </c>
      <c r="CE44" s="72">
        <v>111133</v>
      </c>
      <c r="CF44" s="72">
        <v>111134</v>
      </c>
      <c r="CG44" s="72">
        <v>111135</v>
      </c>
      <c r="CH44" s="72">
        <v>111136</v>
      </c>
      <c r="CI44" s="72">
        <v>111137</v>
      </c>
      <c r="CJ44" s="72">
        <v>111138</v>
      </c>
      <c r="CL44" s="72">
        <v>111120</v>
      </c>
      <c r="CM44" s="72">
        <v>111121</v>
      </c>
      <c r="CN44" s="72">
        <v>111122</v>
      </c>
      <c r="CO44" s="72">
        <v>111123</v>
      </c>
      <c r="CP44" s="72">
        <v>111124</v>
      </c>
      <c r="CQ44" s="72">
        <v>111125</v>
      </c>
      <c r="CR44" s="72">
        <v>111126</v>
      </c>
      <c r="CS44" s="72">
        <v>111127</v>
      </c>
      <c r="CT44" s="72">
        <v>111128</v>
      </c>
      <c r="CU44" s="78">
        <f>IF(AND($N$8=2,$N$20=1),CB44,IF(AND($N$8=2,$N$20=4),CC44,IF(AND($N$8=2,$N$20=5),CD44,IF(AND($N$8=2,$N$20=11),CE44,IF(AND($N$8=2,$N$20=7),CF44,IF(AND($N$8=2,$N$20=3),CG44,IF(AND($N$8=2,$N$20=6),CH44,IF(AND($N$8=2,$N$20=9),CI44,IF(AND($N$8=2,$N$20=2),CJ44,IF(AND($N$8=2,$N$20=8),CK44,IF(AND($N$8=1,$N$20=1),CL44,IF(AND($N$8=1,$N$20=1),CL44,IF(AND($N$8=1,$N$20=4),CM44,IF(AND($N$8=1,$N$20=5),CN44,IF(AND($N$8=1,$N$20=11),CO44,IF(AND($N$8=1,$N$20=7),CP44,IF(AND($N$8=1,$N$20=3),CQ44,IF(AND($N$8=1,$N$20=6),CR44,IF(AND($N$8=1,$N$20=9),CS44,IF(AND($N$8=1,$N$20=2),CT44,0))))))))))))))))))))</f>
        <v>0</v>
      </c>
      <c r="CV44" s="77">
        <v>111130</v>
      </c>
      <c r="CW44" s="72">
        <v>111131</v>
      </c>
      <c r="CX44" s="72">
        <v>111132</v>
      </c>
      <c r="CY44" s="72">
        <v>111133</v>
      </c>
      <c r="CZ44" s="72">
        <v>111134</v>
      </c>
      <c r="DA44" s="72">
        <v>111135</v>
      </c>
      <c r="DB44" s="72">
        <v>111136</v>
      </c>
      <c r="DC44" s="72">
        <v>111137</v>
      </c>
      <c r="DD44" s="72">
        <v>111138</v>
      </c>
      <c r="DF44" s="72">
        <v>111120</v>
      </c>
      <c r="DG44" s="72">
        <v>111121</v>
      </c>
      <c r="DH44" s="72">
        <v>111122</v>
      </c>
      <c r="DI44" s="72">
        <v>111123</v>
      </c>
      <c r="DJ44" s="72">
        <v>111124</v>
      </c>
      <c r="DK44" s="72">
        <v>111125</v>
      </c>
      <c r="DL44" s="72">
        <v>111126</v>
      </c>
      <c r="DM44" s="72">
        <v>111127</v>
      </c>
      <c r="DN44" s="72">
        <v>111128</v>
      </c>
      <c r="DO44" s="78">
        <f>IF(AND($N$8=2,$N$20=1),CV44,IF(AND($N$8=2,$N$20=4),CW44,IF(AND($N$8=2,$N$20=5),CX44,IF(AND($N$8=2,$N$20=11),CY44,IF(AND($N$8=2,$N$20=7),CZ44,IF(AND($N$8=2,$N$20=3),DA44,IF(AND($N$8=2,$N$20=6),DB44,IF(AND($N$8=2,$N$20=9),DC44,IF(AND($N$8=2,$N$20=2),DD44,IF(AND($N$8=2,$N$20=8),DE44,IF(AND($N$8=1,$N$20=1),DF44,IF(AND($N$8=1,$N$20=1),DF44,IF(AND($N$8=1,$N$20=4),DG44,IF(AND($N$8=1,$N$20=5),DH44,IF(AND($N$8=1,$N$20=11),DI44,IF(AND($N$8=1,$N$20=7),DJ44,IF(AND($N$8=1,$N$20=3),DK44,IF(AND($N$8=1,$N$20=6),DL44,IF(AND($N$8=1,$N$20=9),DM44,IF(AND($N$8=1,$N$20=2),DN44,0))))))))))))))))))))</f>
        <v>0</v>
      </c>
      <c r="DP44" s="77">
        <v>111270</v>
      </c>
      <c r="DQ44" s="72">
        <v>111271</v>
      </c>
      <c r="DR44" s="72">
        <v>111272</v>
      </c>
      <c r="DS44" s="72">
        <v>111273</v>
      </c>
      <c r="DT44" s="72">
        <v>111274</v>
      </c>
      <c r="DU44" s="72">
        <v>111275</v>
      </c>
      <c r="DV44" s="72">
        <v>111276</v>
      </c>
      <c r="DW44" s="72">
        <v>111277</v>
      </c>
      <c r="DX44" s="72">
        <v>111278</v>
      </c>
      <c r="DZ44" s="72">
        <v>111260</v>
      </c>
      <c r="EA44" s="72">
        <v>111261</v>
      </c>
      <c r="EB44" s="72">
        <v>111262</v>
      </c>
      <c r="EC44" s="72">
        <v>111263</v>
      </c>
      <c r="ED44" s="72">
        <v>111264</v>
      </c>
      <c r="EE44" s="72">
        <v>111265</v>
      </c>
      <c r="EF44" s="72">
        <v>111266</v>
      </c>
      <c r="EG44" s="72">
        <v>111267</v>
      </c>
      <c r="EH44" s="72">
        <v>111268</v>
      </c>
      <c r="EI44" s="78">
        <f>IF(AND($N$8=2,$N$20=1),DP44,IF(AND($N$8=2,$N$20=4),DQ44,IF(AND($N$8=2,$N$20=5),DR44,IF(AND($N$8=2,$N$20=11),DS44,IF(AND($N$8=2,$N$20=7),DT44,IF(AND($N$8=2,$N$20=3),DU44,IF(AND($N$8=2,$N$20=6),DV44,IF(AND($N$8=2,$N$20=9),DW44,IF(AND($N$8=2,$N$20=2),DX44,IF(AND($N$8=2,$N$20=8),DY44,IF(AND($N$8=1,$N$20=1),DZ44,IF(AND($N$8=1,$N$20=1),DZ44,IF(AND($N$8=1,$N$20=4),EA44,IF(AND($N$8=1,$N$20=5),EB44,IF(AND($N$8=1,$N$20=11),EC44,IF(AND($N$8=1,$N$20=7),ED44,IF(AND($N$8=1,$N$20=3),EE44,IF(AND($N$8=1,$N$20=6),EF44,IF(AND($N$8=1,$N$20=9),EG44,IF(AND($N$8=1,$N$20=2),EH44,0))))))))))))))))))))</f>
        <v>0</v>
      </c>
      <c r="EJ44" s="77">
        <v>111170</v>
      </c>
      <c r="EK44" s="72">
        <v>111171</v>
      </c>
      <c r="EL44" s="72">
        <v>111172</v>
      </c>
      <c r="EM44" s="72">
        <v>111173</v>
      </c>
      <c r="EN44" s="72">
        <v>111174</v>
      </c>
      <c r="EO44" s="72">
        <v>111175</v>
      </c>
      <c r="EP44" s="72">
        <v>111176</v>
      </c>
      <c r="EQ44" s="72">
        <v>111177</v>
      </c>
      <c r="ER44" s="72">
        <v>111178</v>
      </c>
      <c r="ET44" s="72">
        <v>111160</v>
      </c>
      <c r="EU44" s="72">
        <v>111161</v>
      </c>
      <c r="EV44" s="72">
        <v>111162</v>
      </c>
      <c r="EW44" s="72">
        <v>111163</v>
      </c>
      <c r="EX44" s="72">
        <v>111164</v>
      </c>
      <c r="EY44" s="72">
        <v>111165</v>
      </c>
      <c r="EZ44" s="72">
        <v>111166</v>
      </c>
      <c r="FA44" s="72">
        <v>111167</v>
      </c>
      <c r="FB44" s="72">
        <v>111168</v>
      </c>
      <c r="FC44" s="78">
        <f>IF(AND($N$8=2,$N$20=1),EJ44,IF(AND($N$8=2,$N$20=4),EK44,IF(AND($N$8=2,$N$20=5),EL44,IF(AND($N$8=2,$N$20=11),EM44,IF(AND($N$8=2,$N$20=7),EN44,IF(AND($N$8=2,$N$20=3),EO44,IF(AND($N$8=2,$N$20=6),EP44,IF(AND($N$8=2,$N$20=9),EQ44,IF(AND($N$8=2,$N$20=2),ER44,IF(AND($N$8=2,$N$20=8),ES44,IF(AND($N$8=1,$N$20=1),ET44,IF(AND($N$8=1,$N$20=1),ET44,IF(AND($N$8=1,$N$20=4),EU44,IF(AND($N$8=1,$N$20=5),EV44,IF(AND($N$8=1,$N$20=11),EW44,IF(AND($N$8=1,$N$20=7),EX44,IF(AND($N$8=1,$N$20=3),EY44,IF(AND($N$8=1,$N$20=6),EZ44,IF(AND($N$8=1,$N$20=9),FA44,IF(AND($N$8=1,$N$20=2),FB44,0))))))))))))))))))))</f>
        <v>0</v>
      </c>
      <c r="FD44" s="77">
        <v>111170</v>
      </c>
      <c r="FE44" s="72">
        <v>111171</v>
      </c>
      <c r="FF44" s="72">
        <v>111172</v>
      </c>
      <c r="FG44" s="72">
        <v>111173</v>
      </c>
      <c r="FH44" s="72">
        <v>111174</v>
      </c>
      <c r="FI44" s="72">
        <v>111175</v>
      </c>
      <c r="FJ44" s="72">
        <v>111176</v>
      </c>
      <c r="FK44" s="72">
        <v>111177</v>
      </c>
      <c r="FL44" s="72">
        <v>111178</v>
      </c>
      <c r="FN44" s="72">
        <v>111160</v>
      </c>
      <c r="FO44" s="72">
        <v>111161</v>
      </c>
      <c r="FP44" s="72">
        <v>111162</v>
      </c>
      <c r="FQ44" s="72">
        <v>111163</v>
      </c>
      <c r="FR44" s="72">
        <v>111164</v>
      </c>
      <c r="FS44" s="72">
        <v>111165</v>
      </c>
      <c r="FT44" s="72">
        <v>111166</v>
      </c>
      <c r="FU44" s="72">
        <v>111167</v>
      </c>
      <c r="FV44" s="72">
        <v>111168</v>
      </c>
      <c r="FW44" s="78">
        <f>IF(AND($N$8=2,$N$20=1),FD44,IF(AND($N$8=2,$N$20=4),FE44,IF(AND($N$8=2,$N$20=5),FF44,IF(AND($N$8=2,$N$20=11),FG44,IF(AND($N$8=2,$N$20=7),FH44,IF(AND($N$8=2,$N$20=3),FI44,IF(AND($N$8=2,$N$20=6),FJ44,IF(AND($N$8=2,$N$20=9),FK44,IF(AND($N$8=2,$N$20=2),FL44,IF(AND($N$8=2,$N$20=8),FM44,IF(AND($N$8=1,$N$20=1),FN44,IF(AND($N$8=1,$N$20=1),FN44,IF(AND($N$8=1,$N$20=4),FO44,IF(AND($N$8=1,$N$20=5),FP44,IF(AND($N$8=1,$N$20=11),FQ44,IF(AND($N$8=1,$N$20=7),FR44,IF(AND($N$8=1,$N$20=3),FS44,IF(AND($N$8=1,$N$20=6),FT44,IF(AND($N$8=1,$N$20=9),FU44,IF(AND($N$8=1,$N$20=2),FV44,0))))))))))))))))))))</f>
        <v>0</v>
      </c>
      <c r="FX44" s="77">
        <v>111170</v>
      </c>
      <c r="FY44" s="72">
        <v>111171</v>
      </c>
      <c r="FZ44" s="72">
        <v>111172</v>
      </c>
      <c r="GA44" s="72">
        <v>111173</v>
      </c>
      <c r="GB44" s="72">
        <v>111174</v>
      </c>
      <c r="GC44" s="72">
        <v>111175</v>
      </c>
      <c r="GD44" s="72">
        <v>111176</v>
      </c>
      <c r="GE44" s="72">
        <v>111177</v>
      </c>
      <c r="GF44" s="72">
        <v>111178</v>
      </c>
      <c r="GH44" s="72">
        <v>111160</v>
      </c>
      <c r="GI44" s="72">
        <v>111161</v>
      </c>
      <c r="GJ44" s="72">
        <v>111162</v>
      </c>
      <c r="GK44" s="72">
        <v>111163</v>
      </c>
      <c r="GL44" s="72">
        <v>111164</v>
      </c>
      <c r="GM44" s="72">
        <v>111165</v>
      </c>
      <c r="GN44" s="72">
        <v>111166</v>
      </c>
      <c r="GO44" s="72">
        <v>111167</v>
      </c>
      <c r="GP44" s="72">
        <v>111168</v>
      </c>
      <c r="GQ44" s="78">
        <f>IF(AND($N$8=2,$N$20=1),FX44,IF(AND($N$8=2,$N$20=4),FY44,IF(AND($N$8=2,$N$20=5),FZ44,IF(AND($N$8=2,$N$20=11),GA44,IF(AND($N$8=2,$N$20=7),GB44,IF(AND($N$8=2,$N$20=3),GC44,IF(AND($N$8=2,$N$20=6),GD44,IF(AND($N$8=2,$N$20=9),GE44,IF(AND($N$8=2,$N$20=2),GF44,IF(AND($N$8=2,$N$20=8),GG44,IF(AND($N$8=1,$N$20=1),GH44,IF(AND($N$8=1,$N$20=1),GH44,IF(AND($N$8=1,$N$20=4),GI44,IF(AND($N$8=1,$N$20=5),GJ44,IF(AND($N$8=1,$N$20=11),GK44,IF(AND($N$8=1,$N$20=7),GL44,IF(AND($N$8=1,$N$20=3),GM44,IF(AND($N$8=1,$N$20=6),GN44,IF(AND($N$8=1,$N$20=9),GO44,IF(AND($N$8=1,$N$20=2),GP44,0))))))))))))))))))))</f>
        <v>0</v>
      </c>
      <c r="GR44" s="77">
        <v>111290</v>
      </c>
      <c r="GS44" s="72">
        <v>111291</v>
      </c>
      <c r="GT44" s="72">
        <v>111292</v>
      </c>
      <c r="GU44" s="72">
        <v>111293</v>
      </c>
      <c r="GV44" s="72">
        <v>111294</v>
      </c>
      <c r="GW44" s="72">
        <v>111295</v>
      </c>
      <c r="GX44" s="72">
        <v>111296</v>
      </c>
      <c r="GY44" s="72">
        <v>111297</v>
      </c>
      <c r="GZ44" s="72">
        <v>111298</v>
      </c>
      <c r="HB44" s="72">
        <v>111280</v>
      </c>
      <c r="HC44" s="72">
        <v>111281</v>
      </c>
      <c r="HD44" s="72">
        <v>111282</v>
      </c>
      <c r="HE44" s="72">
        <v>111283</v>
      </c>
      <c r="HF44" s="72">
        <v>111284</v>
      </c>
      <c r="HG44" s="72">
        <v>111285</v>
      </c>
      <c r="HH44" s="72">
        <v>111286</v>
      </c>
      <c r="HI44" s="72">
        <v>111287</v>
      </c>
      <c r="HJ44" s="72">
        <v>111288</v>
      </c>
      <c r="HK44" s="78">
        <f>IF(AND($N$8=2,$N$20=1),GR44,IF(AND($N$8=2,$N$20=4),GS44,IF(AND($N$8=2,$N$20=5),GT44,IF(AND($N$8=2,$N$20=11),GU44,IF(AND($N$8=2,$N$20=7),GV44,IF(AND($N$8=2,$N$20=3),GW44,IF(AND($N$8=2,$N$20=6),GX44,IF(AND($N$8=2,$N$20=9),GY44,IF(AND($N$8=2,$N$20=2),GZ44,IF(AND($N$8=2,$N$20=8),HA44,IF(AND($N$8=1,$N$20=1),HB44,IF(AND($N$8=1,$N$20=1),HB44,IF(AND($N$8=1,$N$20=4),HC44,IF(AND($N$8=1,$N$20=5),HD44,IF(AND($N$8=1,$N$20=11),HE44,IF(AND($N$8=1,$N$20=7),HF44,IF(AND($N$8=1,$N$20=3),HG44,IF(AND($N$8=1,$N$20=6),HH44,IF(AND($N$8=1,$N$20=9),HI44,IF(AND($N$8=1,$N$20=2),HJ44,0))))))))))))))))))))</f>
        <v>0</v>
      </c>
      <c r="HL44" s="77">
        <v>111290</v>
      </c>
      <c r="HM44" s="72">
        <v>111291</v>
      </c>
      <c r="HN44" s="72">
        <v>111292</v>
      </c>
      <c r="HO44" s="72">
        <v>111293</v>
      </c>
      <c r="HP44" s="72">
        <v>111294</v>
      </c>
      <c r="HQ44" s="72">
        <v>111295</v>
      </c>
      <c r="HR44" s="72">
        <v>111296</v>
      </c>
      <c r="HS44" s="72">
        <v>111297</v>
      </c>
      <c r="HT44" s="72">
        <v>111298</v>
      </c>
      <c r="HV44" s="72">
        <v>111280</v>
      </c>
      <c r="HW44" s="72">
        <v>111281</v>
      </c>
      <c r="HX44" s="72">
        <v>111282</v>
      </c>
      <c r="HY44" s="72">
        <v>111283</v>
      </c>
      <c r="HZ44" s="72">
        <v>111284</v>
      </c>
      <c r="IA44" s="72">
        <v>111285</v>
      </c>
      <c r="IB44" s="72">
        <v>111286</v>
      </c>
      <c r="IC44" s="72">
        <v>111287</v>
      </c>
      <c r="ID44" s="72">
        <v>111288</v>
      </c>
      <c r="IE44" s="78">
        <f>IF(AND($N$8=2,$N$20=1),HL44,IF(AND($N$8=2,$N$20=4),HM44,IF(AND($N$8=2,$N$20=5),HN44,IF(AND($N$8=2,$N$20=11),HO44,IF(AND($N$8=2,$N$20=7),HP44,IF(AND($N$8=2,$N$20=3),HQ44,IF(AND($N$8=2,$N$20=6),HR44,IF(AND($N$8=2,$N$20=9),HS44,IF(AND($N$8=2,$N$20=2),HT44,IF(AND($N$8=2,$N$20=8),HU44,IF(AND($N$8=1,$N$20=1),HV44,IF(AND($N$8=1,$N$20=1),HV44,IF(AND($N$8=1,$N$20=4),HW44,IF(AND($N$8=1,$N$20=5),HX44,IF(AND($N$8=1,$N$20=11),HY44,IF(AND($N$8=1,$N$20=7),HZ44,IF(AND($N$8=1,$N$20=3),IA44,IF(AND($N$8=1,$N$20=6),IB44,IF(AND($N$8=1,$N$20=9),IC44,IF(AND($N$8=1,$N$20=2),ID44,0))))))))))))))))))))</f>
        <v>0</v>
      </c>
      <c r="IF44" s="77">
        <v>111190</v>
      </c>
      <c r="IG44" s="72">
        <v>111191</v>
      </c>
      <c r="IH44" s="72">
        <v>111192</v>
      </c>
      <c r="II44" s="72">
        <v>111193</v>
      </c>
      <c r="IJ44" s="72">
        <v>111194</v>
      </c>
      <c r="IK44" s="72">
        <v>111195</v>
      </c>
      <c r="IL44" s="72">
        <v>111196</v>
      </c>
      <c r="IM44" s="72">
        <v>111197</v>
      </c>
      <c r="IN44" s="72">
        <v>111198</v>
      </c>
      <c r="IP44" s="72">
        <v>111180</v>
      </c>
      <c r="IQ44" s="72">
        <v>111181</v>
      </c>
      <c r="IR44" s="72">
        <v>111182</v>
      </c>
      <c r="IS44" s="72">
        <v>111183</v>
      </c>
      <c r="IT44" s="72">
        <v>111184</v>
      </c>
      <c r="IU44" s="72">
        <v>111185</v>
      </c>
      <c r="IV44" s="72">
        <v>111186</v>
      </c>
      <c r="IW44" s="72">
        <v>111187</v>
      </c>
      <c r="IX44" s="72">
        <v>111188</v>
      </c>
      <c r="IY44" s="78">
        <f>IF(AND($N$8=2,$N$20=1),IF44,IF(AND($N$8=2,$N$20=4),IG44,IF(AND($N$8=2,$N$20=5),IH44,IF(AND($N$8=2,$N$20=11),II44,IF(AND($N$8=2,$N$20=7),IJ44,IF(AND($N$8=2,$N$20=3),IK44,IF(AND($N$8=2,$N$20=6),IL44,IF(AND($N$8=2,$N$20=9),IM44,IF(AND($N$8=2,$N$20=2),IN44,IF(AND($N$8=2,$N$20=8),IO44,IF(AND($N$8=1,$N$20=1),IP44,IF(AND($N$8=1,$N$20=1),IP44,IF(AND($N$8=1,$N$20=4),IQ44,IF(AND($N$8=1,$N$20=5),IR44,IF(AND($N$8=1,$N$20=11),IS44,IF(AND($N$8=1,$N$20=7),IT44,IF(AND($N$8=1,$N$20=3),IU44,IF(AND($N$8=1,$N$20=6),IV44,IF(AND($N$8=1,$N$20=9),IW44,IF(AND($N$8=1,$N$20=2),IX44,0))))))))))))))))))))</f>
        <v>0</v>
      </c>
      <c r="IZ44" s="77">
        <v>111190</v>
      </c>
      <c r="JA44" s="72">
        <v>111191</v>
      </c>
      <c r="JB44" s="72">
        <v>111192</v>
      </c>
      <c r="JC44" s="72">
        <v>111193</v>
      </c>
      <c r="JD44" s="72">
        <v>111194</v>
      </c>
      <c r="JE44" s="72">
        <v>111195</v>
      </c>
      <c r="JF44" s="72">
        <v>111196</v>
      </c>
      <c r="JG44" s="72">
        <v>111197</v>
      </c>
      <c r="JH44" s="72">
        <v>111198</v>
      </c>
      <c r="JJ44" s="72">
        <v>111180</v>
      </c>
      <c r="JK44" s="72">
        <v>111181</v>
      </c>
      <c r="JL44" s="72">
        <v>111182</v>
      </c>
      <c r="JM44" s="72">
        <v>111183</v>
      </c>
      <c r="JN44" s="72">
        <v>111184</v>
      </c>
      <c r="JO44" s="72">
        <v>111185</v>
      </c>
      <c r="JP44" s="72">
        <v>111186</v>
      </c>
      <c r="JQ44" s="72">
        <v>111187</v>
      </c>
      <c r="JR44" s="72">
        <v>111188</v>
      </c>
      <c r="JS44" s="78">
        <f>IF(AND($N$8=2,$N$20=1),IZ44,IF(AND($N$8=2,$N$20=4),JA44,IF(AND($N$8=2,$N$20=5),JB44,IF(AND($N$8=2,$N$20=11),JC44,IF(AND($N$8=2,$N$20=7),JD44,IF(AND($N$8=2,$N$20=3),JE44,IF(AND($N$8=2,$N$20=6),JF44,IF(AND($N$8=2,$N$20=9),JG44,IF(AND($N$8=2,$N$20=2),JH44,IF(AND($N$8=2,$N$20=8),JI44,IF(AND($N$8=1,$N$20=1),JJ44,IF(AND($N$8=1,$N$20=1),JJ44,IF(AND($N$8=1,$N$20=4),JK44,IF(AND($N$8=1,$N$20=5),JL44,IF(AND($N$8=1,$N$20=11),JM44,IF(AND($N$8=1,$N$20=7),JN44,IF(AND($N$8=1,$N$20=3),JO44,IF(AND($N$8=1,$N$20=6),JP44,IF(AND($N$8=1,$N$20=9),JQ44,IF(AND($N$8=1,$N$20=2),JR44,0))))))))))))))))))))</f>
        <v>0</v>
      </c>
      <c r="JT44" s="77">
        <v>111190</v>
      </c>
      <c r="JU44" s="72">
        <v>111191</v>
      </c>
      <c r="JV44" s="72">
        <v>111192</v>
      </c>
      <c r="JW44" s="72">
        <v>111193</v>
      </c>
      <c r="JX44" s="72">
        <v>111194</v>
      </c>
      <c r="JY44" s="72">
        <v>111195</v>
      </c>
      <c r="JZ44" s="72">
        <v>111196</v>
      </c>
      <c r="KA44" s="72">
        <v>111197</v>
      </c>
      <c r="KB44" s="72">
        <v>111198</v>
      </c>
      <c r="KD44" s="72">
        <v>111180</v>
      </c>
      <c r="KE44" s="72">
        <v>111181</v>
      </c>
      <c r="KF44" s="72">
        <v>111182</v>
      </c>
      <c r="KG44" s="72">
        <v>111183</v>
      </c>
      <c r="KH44" s="72">
        <v>111184</v>
      </c>
      <c r="KI44" s="72">
        <v>111185</v>
      </c>
      <c r="KJ44" s="72">
        <v>111186</v>
      </c>
      <c r="KK44" s="72">
        <v>111187</v>
      </c>
      <c r="KL44" s="72">
        <v>111188</v>
      </c>
      <c r="KM44" s="78">
        <f>IF(AND($N$8=2,$N$20=1),JT44,IF(AND($N$8=2,$N$20=4),JU44,IF(AND($N$8=2,$N$20=5),JV44,IF(AND($N$8=2,$N$20=11),JW44,IF(AND($N$8=2,$N$20=7),JX44,IF(AND($N$8=2,$N$20=3),JY44,IF(AND($N$8=2,$N$20=6),JZ44,IF(AND($N$8=2,$N$20=9),KA44,IF(AND($N$8=2,$N$20=2),KB44,IF(AND($N$8=2,$N$20=8),KC44,IF(AND($N$8=1,$N$20=1),KD44,IF(AND($N$8=1,$N$20=1),KD44,IF(AND($N$8=1,$N$20=4),KE44,IF(AND($N$8=1,$N$20=5),KF44,IF(AND($N$8=1,$N$20=11),KG44,IF(AND($N$8=1,$N$20=7),KH44,IF(AND($N$8=1,$N$20=3),KI44,IF(AND($N$8=1,$N$20=6),KJ44,IF(AND($N$8=1,$N$20=9),KK44,IF(AND($N$8=1,$N$20=2),KL44,0))))))))))))))))))))</f>
        <v>0</v>
      </c>
      <c r="KN44" s="77">
        <v>111210</v>
      </c>
      <c r="KO44" s="72">
        <v>111211</v>
      </c>
      <c r="KP44" s="72">
        <v>111212</v>
      </c>
      <c r="KQ44" s="72">
        <v>111213</v>
      </c>
      <c r="KR44" s="72">
        <v>111214</v>
      </c>
      <c r="KS44" s="72">
        <v>111215</v>
      </c>
      <c r="KT44" s="72">
        <v>111216</v>
      </c>
      <c r="KU44" s="72">
        <v>111217</v>
      </c>
      <c r="KV44" s="72">
        <v>111218</v>
      </c>
      <c r="KX44" s="72">
        <v>111200</v>
      </c>
      <c r="KY44" s="72">
        <v>111201</v>
      </c>
      <c r="KZ44" s="72">
        <v>111202</v>
      </c>
      <c r="LA44" s="72">
        <v>111203</v>
      </c>
      <c r="LB44" s="72">
        <v>111204</v>
      </c>
      <c r="LC44" s="72">
        <v>111205</v>
      </c>
      <c r="LD44" s="72">
        <v>111206</v>
      </c>
      <c r="LE44" s="72">
        <v>111207</v>
      </c>
      <c r="LF44" s="72">
        <v>111208</v>
      </c>
      <c r="LG44" s="78">
        <f>IF(AND($N$8=2,$N$20=1),KN44,IF(AND($N$8=2,$N$20=4),KO44,IF(AND($N$8=2,$N$20=5),KP44,IF(AND($N$8=2,$N$20=11),KQ44,IF(AND($N$8=2,$N$20=7),KR44,IF(AND($N$8=2,$N$20=3),KS44,IF(AND($N$8=2,$N$20=6),KT44,IF(AND($N$8=2,$N$20=9),KU44,IF(AND($N$8=2,$N$20=2),KV44,IF(AND($N$8=2,$N$20=8),KW44,IF(AND($N$8=1,$N$20=1),KX44,IF(AND($N$8=1,$N$20=1),KX44,IF(AND($N$8=1,$N$20=4),KY44,IF(AND($N$8=1,$N$20=5),KZ44,IF(AND($N$8=1,$N$20=11),LA44,IF(AND($N$8=1,$N$20=7),LB44,IF(AND($N$8=1,$N$20=3),LC44,IF(AND($N$8=1,$N$20=6),LD44,IF(AND($N$8=1,$N$20=9),LE44,IF(AND($N$8=1,$N$20=2),LF44,0))))))))))))))))))))</f>
        <v>0</v>
      </c>
      <c r="LH44" s="77">
        <v>111230</v>
      </c>
      <c r="LI44" s="72">
        <v>111231</v>
      </c>
      <c r="LJ44" s="72">
        <v>111232</v>
      </c>
      <c r="LK44" s="72">
        <v>111233</v>
      </c>
      <c r="LL44" s="72">
        <v>111234</v>
      </c>
      <c r="LM44" s="72">
        <v>111235</v>
      </c>
      <c r="LN44" s="72">
        <v>111236</v>
      </c>
      <c r="LO44" s="72">
        <v>111237</v>
      </c>
      <c r="LP44" s="72">
        <v>111238</v>
      </c>
      <c r="LR44" s="72">
        <v>111220</v>
      </c>
      <c r="LS44" s="72">
        <v>111221</v>
      </c>
      <c r="LT44" s="72">
        <v>111222</v>
      </c>
      <c r="LU44" s="72">
        <v>111223</v>
      </c>
      <c r="LV44" s="72">
        <v>111224</v>
      </c>
      <c r="LW44" s="72">
        <v>111225</v>
      </c>
      <c r="LX44" s="72">
        <v>111226</v>
      </c>
      <c r="LY44" s="72">
        <v>111227</v>
      </c>
      <c r="LZ44" s="72">
        <v>111228</v>
      </c>
      <c r="MA44" s="78">
        <f>IF(AND($N$8=2,$N$20=1),LH44,IF(AND($N$8=2,$N$20=4),LI44,IF(AND($N$8=2,$N$20=5),LJ44,IF(AND($N$8=2,$N$20=11),LK44,IF(AND($N$8=2,$N$20=7),LL44,IF(AND($N$8=2,$N$20=3),LM44,IF(AND($N$8=2,$N$20=6),LN44,IF(AND($N$8=2,$N$20=9),LO44,IF(AND($N$8=2,$N$20=2),LP44,IF(AND($N$8=2,$N$20=8),LQ44,IF(AND($N$8=1,$N$20=1),LR44,IF(AND($N$8=1,$N$20=1),LR44,IF(AND($N$8=1,$N$20=4),LS44,IF(AND($N$8=1,$N$20=5),LT44,IF(AND($N$8=1,$N$20=11),LU44,IF(AND($N$8=1,$N$20=7),LV44,IF(AND($N$8=1,$N$20=3),LW44,IF(AND($N$8=1,$N$20=6),LX44,IF(AND($N$8=1,$N$20=9),LY44,IF(AND($N$8=1,$N$20=2),LZ44,0))))))))))))))))))))</f>
        <v>0</v>
      </c>
      <c r="MB44" s="77">
        <v>111230</v>
      </c>
      <c r="MC44" s="72">
        <v>111231</v>
      </c>
      <c r="MD44" s="72">
        <v>111232</v>
      </c>
      <c r="ME44" s="72">
        <v>111233</v>
      </c>
      <c r="MF44" s="72">
        <v>111234</v>
      </c>
      <c r="MG44" s="72">
        <v>111235</v>
      </c>
      <c r="MH44" s="72">
        <v>111236</v>
      </c>
      <c r="MI44" s="72">
        <v>111237</v>
      </c>
      <c r="MJ44" s="72">
        <v>111238</v>
      </c>
      <c r="ML44" s="72">
        <v>111220</v>
      </c>
      <c r="MM44" s="72">
        <v>111221</v>
      </c>
      <c r="MN44" s="72">
        <v>111222</v>
      </c>
      <c r="MO44" s="72">
        <v>111223</v>
      </c>
      <c r="MP44" s="72">
        <v>111224</v>
      </c>
      <c r="MQ44" s="72">
        <v>111225</v>
      </c>
      <c r="MR44" s="72">
        <v>111226</v>
      </c>
      <c r="MS44" s="72">
        <v>111227</v>
      </c>
      <c r="MT44" s="72">
        <v>111228</v>
      </c>
      <c r="MU44" s="78">
        <f>IF(AND($N$8=2,$N$20=1),MB44,IF(AND($N$8=2,$N$20=4),MC44,IF(AND($N$8=2,$N$20=5),MD44,IF(AND($N$8=2,$N$20=11),ME44,IF(AND($N$8=2,$N$20=7),MF44,IF(AND($N$8=2,$N$20=3),MG44,IF(AND($N$8=2,$N$20=6),MH44,IF(AND($N$8=2,$N$20=9),MI44,IF(AND($N$8=2,$N$20=2),MJ44,IF(AND($N$8=2,$N$20=8),MK44,IF(AND($N$8=1,$N$20=1),ML44,IF(AND($N$8=1,$N$20=1),ML44,IF(AND($N$8=1,$N$20=4),MM44,IF(AND($N$8=1,$N$20=5),MN44,IF(AND($N$8=1,$N$20=11),MO44,IF(AND($N$8=1,$N$20=7),MP44,IF(AND($N$8=1,$N$20=3),MQ44,IF(AND($N$8=1,$N$20=6),MR44,IF(AND($N$8=1,$N$20=9),MS44,IF(AND($N$8=1,$N$20=2),MT44,0))))))))))))))))))))</f>
        <v>0</v>
      </c>
      <c r="MV44" s="77">
        <v>111610</v>
      </c>
      <c r="MW44" s="72">
        <v>111611</v>
      </c>
      <c r="MX44" s="72">
        <v>111612</v>
      </c>
      <c r="MY44" s="72">
        <v>111613</v>
      </c>
      <c r="MZ44" s="72">
        <v>111614</v>
      </c>
      <c r="NA44" s="72">
        <v>111615</v>
      </c>
      <c r="NB44" s="72">
        <v>111616</v>
      </c>
      <c r="NC44" s="72">
        <v>111617</v>
      </c>
      <c r="ND44" s="72">
        <v>111618</v>
      </c>
      <c r="NF44" s="72">
        <v>111600</v>
      </c>
      <c r="NG44" s="72">
        <v>111601</v>
      </c>
      <c r="NH44" s="72">
        <v>111602</v>
      </c>
      <c r="NI44" s="72">
        <v>111603</v>
      </c>
      <c r="NJ44" s="72">
        <v>111604</v>
      </c>
      <c r="NK44" s="72">
        <v>111605</v>
      </c>
      <c r="NL44" s="72">
        <v>111606</v>
      </c>
      <c r="NM44" s="72">
        <v>111607</v>
      </c>
      <c r="NN44" s="72">
        <v>111608</v>
      </c>
      <c r="NO44" s="78">
        <f>IF(AND($N$8=2,$N$20=1),MV44,IF(AND($N$8=2,$N$20=4),MW44,IF(AND($N$8=2,$N$20=5),MX44,IF(AND($N$8=2,$N$20=11),MY44,IF(AND($N$8=2,$N$20=7),MZ44,IF(AND($N$8=2,$N$20=3),NA44,IF(AND($N$8=2,$N$20=6),NB44,IF(AND($N$8=2,$N$20=9),NC44,IF(AND($N$8=2,$N$20=2),ND44,IF(AND($N$8=2,$N$20=8),NE44,IF(AND($N$8=1,$N$20=1),NF44,IF(AND($N$8=1,$N$20=1),NF44,IF(AND($N$8=1,$N$20=4),NG44,IF(AND($N$8=1,$N$20=5),NH44,IF(AND($N$8=1,$N$20=11),NI44,IF(AND($N$8=1,$N$20=7),NJ44,IF(AND($N$8=1,$N$20=3),NK44,IF(AND($N$8=1,$N$20=6),NL44,IF(AND($N$8=1,$N$20=9),NM44,IF(AND($N$8=1,$N$20=2),NN44,0))))))))))))))))))))</f>
        <v>0</v>
      </c>
      <c r="NP44" s="77">
        <v>111250</v>
      </c>
      <c r="NQ44" s="72">
        <v>111251</v>
      </c>
      <c r="NR44" s="72">
        <v>111252</v>
      </c>
      <c r="NS44" s="72">
        <v>111253</v>
      </c>
      <c r="NT44" s="72">
        <v>111254</v>
      </c>
      <c r="NU44" s="72">
        <v>111255</v>
      </c>
      <c r="NV44" s="72">
        <v>111256</v>
      </c>
      <c r="NW44" s="72">
        <v>111257</v>
      </c>
      <c r="NX44" s="72">
        <v>111258</v>
      </c>
      <c r="NZ44" s="72">
        <v>111240</v>
      </c>
      <c r="OA44" s="72">
        <v>111241</v>
      </c>
      <c r="OB44" s="72">
        <v>111242</v>
      </c>
      <c r="OC44" s="72">
        <v>111243</v>
      </c>
      <c r="OD44" s="72">
        <v>111244</v>
      </c>
      <c r="OE44" s="72">
        <v>111245</v>
      </c>
      <c r="OF44" s="72">
        <v>111246</v>
      </c>
      <c r="OG44" s="72">
        <v>111247</v>
      </c>
      <c r="OH44" s="72">
        <v>111248</v>
      </c>
      <c r="OI44" s="78">
        <f>IF(AND($N$8=2,$N$20=1),NP44,IF(AND($N$8=2,$N$20=4),NQ44,IF(AND($N$8=2,$N$20=5),NR44,IF(AND($N$8=2,$N$20=11),NS44,IF(AND($N$8=2,$N$20=7),NT44,IF(AND($N$8=2,$N$20=3),NU44,IF(AND($N$8=2,$N$20=6),NV44,IF(AND($N$8=2,$N$20=9),NW44,IF(AND($N$8=2,$N$20=2),NX44,IF(AND($N$8=2,$N$20=8),NY44,IF(AND($N$8=1,$N$20=1),NZ44,IF(AND($N$8=1,$N$20=1),NZ44,IF(AND($N$8=1,$N$20=4),OA44,IF(AND($N$8=1,$N$20=5),OB44,IF(AND($N$8=1,$N$20=11),OC44,IF(AND($N$8=1,$N$20=7),OD44,IF(AND($N$8=1,$N$20=3),OE44,IF(AND($N$8=1,$N$20=6),OF44,IF(AND($N$8=1,$N$20=9),OG44,IF(AND($N$8=1,$N$20=2),OH44,0))))))))))))))))))))</f>
        <v>0</v>
      </c>
      <c r="OJ44" s="77">
        <v>111250</v>
      </c>
      <c r="OK44" s="72">
        <v>111251</v>
      </c>
      <c r="OL44" s="72">
        <v>111252</v>
      </c>
      <c r="OM44" s="72">
        <v>111253</v>
      </c>
      <c r="ON44" s="72">
        <v>111254</v>
      </c>
      <c r="OO44" s="72">
        <v>111255</v>
      </c>
      <c r="OP44" s="72">
        <v>111256</v>
      </c>
      <c r="OQ44" s="72">
        <v>111257</v>
      </c>
      <c r="OR44" s="72">
        <v>111258</v>
      </c>
      <c r="OT44" s="72">
        <v>111240</v>
      </c>
      <c r="OU44" s="72">
        <v>111241</v>
      </c>
      <c r="OV44" s="72">
        <v>111242</v>
      </c>
      <c r="OW44" s="72">
        <v>111243</v>
      </c>
      <c r="OX44" s="72">
        <v>111244</v>
      </c>
      <c r="OY44" s="72">
        <v>111245</v>
      </c>
      <c r="OZ44" s="72">
        <v>111246</v>
      </c>
      <c r="PA44" s="72">
        <v>111247</v>
      </c>
      <c r="PB44" s="72">
        <v>111248</v>
      </c>
      <c r="PC44" s="78">
        <f>IF(AND($N$8=2,$N$20=1),OJ44,IF(AND($N$8=2,$N$20=4),OK44,IF(AND($N$8=2,$N$20=5),OL44,IF(AND($N$8=2,$N$20=11),OM44,IF(AND($N$8=2,$N$20=7),ON44,IF(AND($N$8=2,$N$20=3),OO44,IF(AND($N$8=2,$N$20=6),OP44,IF(AND($N$8=2,$N$20=9),OQ44,IF(AND($N$8=2,$N$20=2),OR44,IF(AND($N$8=2,$N$20=8),OS44,IF(AND($N$8=1,$N$20=1),OT44,IF(AND($N$8=1,$N$20=1),OT44,IF(AND($N$8=1,$N$20=4),OU44,IF(AND($N$8=1,$N$20=5),OV44,IF(AND($N$8=1,$N$20=11),OW44,IF(AND($N$8=1,$N$20=7),OX44,IF(AND($N$8=1,$N$20=3),OY44,IF(AND($N$8=1,$N$20=6),OZ44,IF(AND($N$8=1,$N$20=9),PA44,IF(AND($N$8=1,$N$20=2),PB44,0))))))))))))))))))))</f>
        <v>0</v>
      </c>
      <c r="PD44" s="77">
        <v>111630</v>
      </c>
      <c r="PE44" s="72">
        <v>111631</v>
      </c>
      <c r="PF44" s="72">
        <v>111632</v>
      </c>
      <c r="PG44" s="72">
        <v>111633</v>
      </c>
      <c r="PH44" s="72">
        <v>111634</v>
      </c>
      <c r="PI44" s="72">
        <v>111635</v>
      </c>
      <c r="PJ44" s="72">
        <v>111636</v>
      </c>
      <c r="PK44" s="72">
        <v>111637</v>
      </c>
      <c r="PL44" s="72">
        <v>111638</v>
      </c>
      <c r="PN44" s="72">
        <v>111620</v>
      </c>
      <c r="PO44" s="72">
        <v>111621</v>
      </c>
      <c r="PP44" s="72">
        <v>111622</v>
      </c>
      <c r="PQ44" s="72">
        <v>111623</v>
      </c>
      <c r="PR44" s="72">
        <v>111624</v>
      </c>
      <c r="PS44" s="72">
        <v>111625</v>
      </c>
      <c r="PT44" s="72">
        <v>111626</v>
      </c>
      <c r="PU44" s="72">
        <v>111627</v>
      </c>
      <c r="PV44" s="72">
        <v>111628</v>
      </c>
      <c r="PW44" s="78">
        <f>IF(AND($N$8=2,$N$20=1),PD44,IF(AND($N$8=2,$N$20=4),PE44,IF(AND($N$8=2,$N$20=5),PF44,IF(AND($N$8=2,$N$20=11),PG44,IF(AND($N$8=2,$N$20=7),PH44,IF(AND($N$8=2,$N$20=3),PI44,IF(AND($N$8=2,$N$20=6),PJ44,IF(AND($N$8=2,$N$20=9),PK44,IF(AND($N$8=2,$N$20=2),PL44,IF(AND($N$8=2,$N$20=8),PM44,IF(AND($N$8=1,$N$20=1),PN44,IF(AND($N$8=1,$N$20=1),PN44,IF(AND($N$8=1,$N$20=4),PO44,IF(AND($N$8=1,$N$20=5),PP44,IF(AND($N$8=1,$N$20=11),PQ44,IF(AND($N$8=1,$N$20=7),PR44,IF(AND($N$8=1,$N$20=3),PS44,IF(AND($N$8=1,$N$20=6),PT44,IF(AND($N$8=1,$N$20=9),PU44,IF(AND($N$8=1,$N$20=2),PV44,0))))))))))))))))))))</f>
        <v>0</v>
      </c>
    </row>
    <row r="45" spans="1:439" ht="32.1" customHeight="1">
      <c r="A45" s="164"/>
      <c r="B45" s="137" t="str">
        <f>VLOOKUP("Stk",Sprachindex!A:Z,Info!$O$6,FALSE)</f>
        <v>STK</v>
      </c>
      <c r="C45" s="135"/>
      <c r="D45" s="136">
        <f>IF(OR(J45=Formeln!A51,J45=Formeln!A52,J45=Formeln!A53,J45=Formeln!A83,J45=Formeln!A84,J45=Formeln!A85),AM45,IF(OR(J45=Formeln!A54,J45=Formeln!A55,J45=Formeln!A56,J45=Formeln!A86,J45=Formeln!A87,J45=Formeln!A88),BG45,IF(OR(J45=Formeln!A57,J45=Formeln!A58,J45=Formeln!A59,J45=Formeln!A60,J45=Formeln!A61,J45=Formeln!A89,J45=Formeln!A90,J45=Formeln!A91,J45=Formeln!A92,J45=Formeln!A93),CA45,IF(OR(J45=Formeln!A62,J45=Formeln!A63,J45=Formeln!A64,J45=Formeln!A94,J45=Formeln!A95,J45=Formeln!A96),CU45,IF(OR(J45=Formeln!A65,J45=Formeln!A66,J45=Formeln!A97,J45=Formeln!A98),DO45,IF(OR(J45=Formeln!A67,J45=Formeln!A68,J45=Formeln!A69,J45=Formeln!A70,J45=Formeln!A71,J45=Formeln!A99,J45=Formeln!A100,J45=Formeln!A101,J45=Formeln!A102,J45=Formeln!A103),EI45,IF(OR(J45=Formeln!A72,J45=Formeln!A73,J45=Formeln!A74,J45=Formeln!A104,J45=Formeln!A105,J45=Formeln!A106),FC45,0)))))))</f>
        <v>0</v>
      </c>
      <c r="E45" s="264" t="str">
        <f>VLOOKUP("PREFA Einfassung für Roto-Dachflächenfenster stucco",Sprachindex!A:Z,Info!$O$6,FALSE)</f>
        <v>PREFA Einfassung für Roto-Dachflächenfenster stucco</v>
      </c>
      <c r="F45" s="265"/>
      <c r="G45" s="265"/>
      <c r="H45" s="265"/>
      <c r="I45" s="145" t="str">
        <f>VLOOKUP("Maße:",Sprachindex!A:Z,Info!$O$6,FALSE)</f>
        <v>Maße:</v>
      </c>
      <c r="J45" s="269"/>
      <c r="K45" s="270"/>
      <c r="L45" s="137" t="str">
        <f t="shared" si="0"/>
        <v/>
      </c>
      <c r="M45" s="138"/>
      <c r="O45" s="1"/>
      <c r="P45" s="11"/>
      <c r="Q45" s="11" t="str">
        <f>ROUNDUP(A45/1,0)*1 &amp;" " &amp; VLOOKUP("Stk",Sprachindex!A:Z,Info!$O$6,FALSE)</f>
        <v>0 STK</v>
      </c>
      <c r="T45" s="72">
        <v>111300</v>
      </c>
      <c r="U45" s="72">
        <v>111301</v>
      </c>
      <c r="V45" s="72">
        <v>111302</v>
      </c>
      <c r="W45" s="72">
        <v>111303</v>
      </c>
      <c r="X45" s="72">
        <v>111304</v>
      </c>
      <c r="Y45" s="72">
        <v>111305</v>
      </c>
      <c r="Z45" s="72">
        <v>111306</v>
      </c>
      <c r="AA45" s="72">
        <v>111307</v>
      </c>
      <c r="AB45" s="72">
        <v>111308</v>
      </c>
      <c r="AD45" s="72">
        <v>111310</v>
      </c>
      <c r="AE45" s="72">
        <v>111311</v>
      </c>
      <c r="AF45" s="72">
        <v>111312</v>
      </c>
      <c r="AG45" s="72">
        <v>111313</v>
      </c>
      <c r="AH45" s="72">
        <v>111314</v>
      </c>
      <c r="AI45" s="72">
        <v>111315</v>
      </c>
      <c r="AJ45" s="72">
        <v>111316</v>
      </c>
      <c r="AK45" s="72">
        <v>111317</v>
      </c>
      <c r="AL45" s="72">
        <v>111318</v>
      </c>
      <c r="AM45" s="78">
        <f>IF(AND($N$8=2,$N$20=1),T45,IF(AND($N$8=2,$N$20=4),U45,IF(AND($N$8=2,$N$20=5),V45,IF(AND($N$8=2,$N$20=11),W45,IF(AND($N$8=2,$N$20=7),X45,IF(AND($N$8=2,$N$20=3),Y45,IF(AND($N$8=2,$N$20=6),Z45,IF(AND($N$8=2,$N$20=9),AA45,IF(AND($N$8=2,$N$20=2),AB45,IF(AND($N$8=2,$N$20=8),AC45,IF(AND($N$8=1,$N$20=1),AD45,IF(AND($N$8=1,$N$20=1),AD45,IF(AND($N$8=1,$N$20=4),AE45,IF(AND($N$8=1,$N$20=5),AF45,IF(AND($N$8=1,$N$20=11),AG45,IF(AND($N$8=1,$N$20=7),AH45,IF(AND($N$8=1,$N$20=3),AI45,IF(AND($N$8=1,$N$20=6),AJ45,IF(AND($N$8=1,$N$20=9),AK45,IF(AND($N$8=1,$N$20=2),AL45,0))))))))))))))))))))</f>
        <v>0</v>
      </c>
      <c r="AN45" s="72">
        <v>111320</v>
      </c>
      <c r="AO45" s="72">
        <v>111321</v>
      </c>
      <c r="AP45" s="72">
        <v>111322</v>
      </c>
      <c r="AQ45" s="72">
        <v>111323</v>
      </c>
      <c r="AR45" s="72">
        <v>111324</v>
      </c>
      <c r="AS45" s="72">
        <v>111325</v>
      </c>
      <c r="AT45" s="72">
        <v>111326</v>
      </c>
      <c r="AU45" s="72">
        <v>111327</v>
      </c>
      <c r="AV45" s="72">
        <v>111328</v>
      </c>
      <c r="AX45" s="72">
        <v>111330</v>
      </c>
      <c r="AY45" s="72">
        <v>111331</v>
      </c>
      <c r="AZ45" s="72">
        <v>111332</v>
      </c>
      <c r="BA45" s="72">
        <v>111333</v>
      </c>
      <c r="BB45" s="72">
        <v>111334</v>
      </c>
      <c r="BC45" s="72">
        <v>111335</v>
      </c>
      <c r="BD45" s="72">
        <v>111336</v>
      </c>
      <c r="BE45" s="72">
        <v>111337</v>
      </c>
      <c r="BF45" s="72">
        <v>111338</v>
      </c>
      <c r="BG45" s="78">
        <f>IF(AND($N$8=2,$N$20=1),AN45,IF(AND($N$8=2,$N$20=4),AO45,IF(AND($N$8=2,$N$20=5),AP45,IF(AND($N$8=2,$N$20=11),AQ45,IF(AND($N$8=2,$N$20=7),AR45,IF(AND($N$8=2,$N$20=3),AS45,IF(AND($N$8=2,$N$20=6),AT45,IF(AND($N$8=2,$N$20=9),AU45,IF(AND($N$8=2,$N$20=2),AV45,IF(AND($N$8=2,$N$20=8),AW45,IF(AND($N$8=1,$N$20=1),AX45,IF(AND($N$8=1,$N$20=1),AX45,IF(AND($N$8=1,$N$20=4),AY45,IF(AND($N$8=1,$N$20=5),AZ45,IF(AND($N$8=1,$N$20=11),BA45,IF(AND($N$8=1,$N$20=7),BB45,IF(AND($N$8=1,$N$20=3),BC45,IF(AND($N$8=1,$N$20=6),BD45,IF(AND($N$8=1,$N$20=9),BE45,IF(AND($N$8=1,$N$20=2),BF45,0))))))))))))))))))))</f>
        <v>0</v>
      </c>
      <c r="BH45" s="72">
        <v>111360</v>
      </c>
      <c r="BI45" s="72">
        <v>111361</v>
      </c>
      <c r="BJ45" s="72">
        <v>111362</v>
      </c>
      <c r="BK45" s="72">
        <v>111363</v>
      </c>
      <c r="BL45" s="72">
        <v>111364</v>
      </c>
      <c r="BM45" s="72">
        <v>111365</v>
      </c>
      <c r="BN45" s="72">
        <v>111366</v>
      </c>
      <c r="BO45" s="72">
        <v>111367</v>
      </c>
      <c r="BP45" s="72">
        <v>111368</v>
      </c>
      <c r="BR45" s="72">
        <v>111370</v>
      </c>
      <c r="BS45" s="72">
        <v>111371</v>
      </c>
      <c r="BT45" s="72">
        <v>111372</v>
      </c>
      <c r="BU45" s="72">
        <v>111373</v>
      </c>
      <c r="BV45" s="72">
        <v>111374</v>
      </c>
      <c r="BW45" s="72">
        <v>111375</v>
      </c>
      <c r="BX45" s="72">
        <v>111376</v>
      </c>
      <c r="BY45" s="72">
        <v>111377</v>
      </c>
      <c r="BZ45" s="72">
        <v>111378</v>
      </c>
      <c r="CA45" s="78">
        <f>IF(AND($N$8=2,$N$20=1),BH45,IF(AND($N$8=2,$N$20=4),BI45,IF(AND($N$8=2,$N$20=5),BJ45,IF(AND($N$8=2,$N$20=11),BK45,IF(AND($N$8=2,$N$20=7),BL45,IF(AND($N$8=2,$N$20=3),BM45,IF(AND($N$8=2,$N$20=6),BN45,IF(AND($N$8=2,$N$20=9),BO45,IF(AND($N$8=2,$N$20=2),BP45,IF(AND($N$8=2,$N$20=8),BQ45,IF(AND($N$8=1,$N$20=1),BR45,IF(AND($N$8=1,$N$20=1),BR45,IF(AND($N$8=1,$N$20=4),BS45,IF(AND($N$8=1,$N$20=5),BT45,IF(AND($N$8=1,$N$20=11),BU45,IF(AND($N$8=1,$N$20=7),BV45,IF(AND($N$8=1,$N$20=3),BW45,IF(AND($N$8=1,$N$20=6),BX45,IF(AND($N$8=1,$N$20=9),BY45,IF(AND($N$8=1,$N$20=2),BZ45,0))))))))))))))))))))</f>
        <v>0</v>
      </c>
      <c r="CB45" s="72">
        <v>111380</v>
      </c>
      <c r="CC45" s="72">
        <v>111381</v>
      </c>
      <c r="CD45" s="72">
        <v>111382</v>
      </c>
      <c r="CE45" s="72">
        <v>111383</v>
      </c>
      <c r="CF45" s="72">
        <v>111384</v>
      </c>
      <c r="CG45" s="72">
        <v>111385</v>
      </c>
      <c r="CH45" s="72">
        <v>111386</v>
      </c>
      <c r="CI45" s="72">
        <v>111387</v>
      </c>
      <c r="CJ45" s="72">
        <v>111388</v>
      </c>
      <c r="CL45" s="72">
        <v>111390</v>
      </c>
      <c r="CM45" s="72">
        <v>111391</v>
      </c>
      <c r="CN45" s="72">
        <v>111392</v>
      </c>
      <c r="CO45" s="72">
        <v>111393</v>
      </c>
      <c r="CP45" s="72">
        <v>111394</v>
      </c>
      <c r="CQ45" s="72">
        <v>111395</v>
      </c>
      <c r="CR45" s="72">
        <v>111396</v>
      </c>
      <c r="CS45" s="72">
        <v>111397</v>
      </c>
      <c r="CT45" s="72">
        <v>111398</v>
      </c>
      <c r="CU45" s="78">
        <f>IF(AND($N$8=2,$N$20=1),CB45,IF(AND($N$8=2,$N$20=4),CC45,IF(AND($N$8=2,$N$20=5),CD45,IF(AND($N$8=2,$N$20=11),CE45,IF(AND($N$8=2,$N$20=7),CF45,IF(AND($N$8=2,$N$20=3),CG45,IF(AND($N$8=2,$N$20=6),CH45,IF(AND($N$8=2,$N$20=9),CI45,IF(AND($N$8=2,$N$20=2),CJ45,IF(AND($N$8=2,$N$20=8),CK45,IF(AND($N$8=1,$N$20=1),CL45,IF(AND($N$8=1,$N$20=1),CL45,IF(AND($N$8=1,$N$20=4),CM45,IF(AND($N$8=1,$N$20=5),CN45,IF(AND($N$8=1,$N$20=11),CO45,IF(AND($N$8=1,$N$20=7),CP45,IF(AND($N$8=1,$N$20=3),CQ45,IF(AND($N$8=1,$N$20=6),CR45,IF(AND($N$8=1,$N$20=9),CS45,IF(AND($N$8=1,$N$20=2),CT45,0))))))))))))))))))))</f>
        <v>0</v>
      </c>
      <c r="CV45" s="72">
        <v>111400</v>
      </c>
      <c r="CW45" s="72">
        <v>111401</v>
      </c>
      <c r="CX45" s="72">
        <v>111402</v>
      </c>
      <c r="CY45" s="72">
        <v>111403</v>
      </c>
      <c r="CZ45" s="72">
        <v>111404</v>
      </c>
      <c r="DA45" s="72">
        <v>111405</v>
      </c>
      <c r="DB45" s="72">
        <v>111406</v>
      </c>
      <c r="DC45" s="72">
        <v>111407</v>
      </c>
      <c r="DD45" s="72">
        <v>111408</v>
      </c>
      <c r="DF45" s="72">
        <v>111410</v>
      </c>
      <c r="DG45" s="72">
        <v>111411</v>
      </c>
      <c r="DH45" s="72">
        <v>111412</v>
      </c>
      <c r="DI45" s="72">
        <v>111413</v>
      </c>
      <c r="DJ45" s="72">
        <v>111414</v>
      </c>
      <c r="DK45" s="72">
        <v>111415</v>
      </c>
      <c r="DL45" s="72">
        <v>111416</v>
      </c>
      <c r="DM45" s="72">
        <v>111417</v>
      </c>
      <c r="DN45" s="72">
        <v>111418</v>
      </c>
      <c r="DO45" s="78">
        <f>IF(AND($N$8=2,$N$20=1),CV45,IF(AND($N$8=2,$N$20=4),CW45,IF(AND($N$8=2,$N$20=5),CX45,IF(AND($N$8=2,$N$20=11),CY45,IF(AND($N$8=2,$N$20=7),CZ45,IF(AND($N$8=2,$N$20=3),DA45,IF(AND($N$8=2,$N$20=6),DB45,IF(AND($N$8=2,$N$20=9),DC45,IF(AND($N$8=2,$N$20=2),DD45,IF(AND($N$8=2,$N$20=8),DE45,IF(AND($N$8=1,$N$20=1),DF45,IF(AND($N$8=1,$N$20=1),DF45,IF(AND($N$8=1,$N$20=4),DG45,IF(AND($N$8=1,$N$20=5),DH45,IF(AND($N$8=1,$N$20=11),DI45,IF(AND($N$8=1,$N$20=7),DJ45,IF(AND($N$8=1,$N$20=3),DK45,IF(AND($N$8=1,$N$20=6),DL45,IF(AND($N$8=1,$N$20=9),DM45,IF(AND($N$8=1,$N$20=2),DN45,0))))))))))))))))))))</f>
        <v>0</v>
      </c>
      <c r="DP45" s="72">
        <v>111420</v>
      </c>
      <c r="DQ45" s="72">
        <v>111421</v>
      </c>
      <c r="DR45" s="72">
        <v>111422</v>
      </c>
      <c r="DS45" s="72">
        <v>111423</v>
      </c>
      <c r="DT45" s="72">
        <v>111424</v>
      </c>
      <c r="DU45" s="72">
        <v>111425</v>
      </c>
      <c r="DV45" s="72">
        <v>111426</v>
      </c>
      <c r="DW45" s="72">
        <v>111427</v>
      </c>
      <c r="DX45" s="72">
        <v>111428</v>
      </c>
      <c r="DZ45" s="72">
        <v>111430</v>
      </c>
      <c r="EA45" s="72">
        <v>111431</v>
      </c>
      <c r="EB45" s="72">
        <v>111432</v>
      </c>
      <c r="EC45" s="72">
        <v>111433</v>
      </c>
      <c r="ED45" s="72">
        <v>111434</v>
      </c>
      <c r="EE45" s="72">
        <v>111435</v>
      </c>
      <c r="EF45" s="72">
        <v>111436</v>
      </c>
      <c r="EG45" s="72">
        <v>111437</v>
      </c>
      <c r="EH45" s="72">
        <v>111438</v>
      </c>
      <c r="EI45" s="78">
        <f>IF(AND($N$8=2,$N$20=1),DP45,IF(AND($N$8=2,$N$20=4),DQ45,IF(AND($N$8=2,$N$20=5),DR45,IF(AND($N$8=2,$N$20=11),DS45,IF(AND($N$8=2,$N$20=7),DT45,IF(AND($N$8=2,$N$20=3),DU45,IF(AND($N$8=2,$N$20=6),DV45,IF(AND($N$8=2,$N$20=9),DW45,IF(AND($N$8=2,$N$20=2),DX45,IF(AND($N$8=2,$N$20=8),DY45,IF(AND($N$8=1,$N$20=1),DZ45,IF(AND($N$8=1,$N$20=1),DZ45,IF(AND($N$8=1,$N$20=4),EA45,IF(AND($N$8=1,$N$20=5),EB45,IF(AND($N$8=1,$N$20=11),EC45,IF(AND($N$8=1,$N$20=7),ED45,IF(AND($N$8=1,$N$20=3),EE45,IF(AND($N$8=1,$N$20=6),EF45,IF(AND($N$8=1,$N$20=9),EG45,IF(AND($N$8=1,$N$20=2),EH45,0))))))))))))))))))))</f>
        <v>0</v>
      </c>
      <c r="EJ45" s="72">
        <v>111440</v>
      </c>
      <c r="EK45" s="72">
        <v>111441</v>
      </c>
      <c r="EL45" s="72">
        <v>111442</v>
      </c>
      <c r="EM45" s="72">
        <v>111443</v>
      </c>
      <c r="EN45" s="72">
        <v>111444</v>
      </c>
      <c r="EO45" s="72">
        <v>111445</v>
      </c>
      <c r="EP45" s="72">
        <v>111446</v>
      </c>
      <c r="EQ45" s="72">
        <v>111447</v>
      </c>
      <c r="ER45" s="72">
        <v>111448</v>
      </c>
      <c r="ET45" s="72">
        <v>111450</v>
      </c>
      <c r="EU45" s="72">
        <v>111451</v>
      </c>
      <c r="EV45" s="72">
        <v>111452</v>
      </c>
      <c r="EW45" s="72">
        <v>111453</v>
      </c>
      <c r="EX45" s="72">
        <v>111454</v>
      </c>
      <c r="EY45" s="72">
        <v>111455</v>
      </c>
      <c r="EZ45" s="72">
        <v>111456</v>
      </c>
      <c r="FA45" s="72">
        <v>111457</v>
      </c>
      <c r="FB45" s="72">
        <v>111458</v>
      </c>
      <c r="FC45" s="78">
        <f>IF(AND($N$8=2,$N$20=1),EJ45,IF(AND($N$8=2,$N$20=4),EK45,IF(AND($N$8=2,$N$20=5),EL45,IF(AND($N$8=2,$N$20=11),EM45,IF(AND($N$8=2,$N$20=7),EN45,IF(AND($N$8=2,$N$20=3),EO45,IF(AND($N$8=2,$N$20=6),EP45,IF(AND($N$8=2,$N$20=9),EQ45,IF(AND($N$8=2,$N$20=2),ER45,IF(AND($N$8=2,$N$20=8),ES45,IF(AND($N$8=1,$N$20=1),ET45,IF(AND($N$8=1,$N$20=1),ET45,IF(AND($N$8=1,$N$20=4),EU45,IF(AND($N$8=1,$N$20=5),EV45,IF(AND($N$8=1,$N$20=11),EW45,IF(AND($N$8=1,$N$20=7),EX45,IF(AND($N$8=1,$N$20=3),EY45,IF(AND($N$8=1,$N$20=6),EZ45,IF(AND($N$8=1,$N$20=9),FA45,IF(AND($N$8=1,$N$20=2),FB45,0))))))))))))))))))))</f>
        <v>0</v>
      </c>
      <c r="FW45" s="78"/>
      <c r="GQ45" s="78"/>
      <c r="HK45" s="78"/>
      <c r="IE45" s="78"/>
      <c r="IY45" s="78"/>
      <c r="JS45" s="78"/>
      <c r="KM45" s="78"/>
      <c r="LG45" s="78"/>
      <c r="MA45" s="78"/>
      <c r="MU45" s="78"/>
      <c r="NO45" s="78"/>
      <c r="OI45" s="78"/>
      <c r="PC45" s="78"/>
      <c r="PW45" s="78"/>
    </row>
    <row r="46" spans="1:439" ht="32.1" customHeight="1">
      <c r="A46" s="164"/>
      <c r="B46" s="137" t="str">
        <f>VLOOKUP("Stk",Sprachindex!A:Z,Info!$O$6,FALSE)</f>
        <v>STK</v>
      </c>
      <c r="C46" s="135"/>
      <c r="D46" s="136">
        <f t="shared" ref="D46:D51" si="2">IF($N$20=1,T46,IF($N$20=4,U46,IF($N$20=5,V46,IF($N$20=11,W46,IF($N$20=7,X46,IF($N$20=3,Y46,IF($N$20=6,Z46,IF($N$20=9,AA46,IF($N$20=2,AB46,IF($N$20=8,AC46,0))))))))))</f>
        <v>0</v>
      </c>
      <c r="E46" s="264" t="str">
        <f>VLOOKUP("PREFA Einzeltritt inkl. zwei Fußteilen",Sprachindex!A:Z,Info!$O$6,FALSE)</f>
        <v>PREFA Einzeltritt inkl. zwei Fußteilen</v>
      </c>
      <c r="F46" s="265"/>
      <c r="G46" s="265"/>
      <c r="H46" s="265"/>
      <c r="I46" s="265"/>
      <c r="J46" s="265"/>
      <c r="K46" s="266"/>
      <c r="L46" s="137" t="str">
        <f t="shared" si="0"/>
        <v/>
      </c>
      <c r="M46" s="138"/>
      <c r="O46" s="1"/>
      <c r="P46" s="11"/>
      <c r="Q46" s="11" t="str">
        <f>ROUNDUP(A46/1,0)*1 &amp;" " &amp; VLOOKUP("Stk",Sprachindex!A:Z,Info!$O$6,FALSE)</f>
        <v>0 STK</v>
      </c>
      <c r="T46" s="72">
        <v>120070</v>
      </c>
      <c r="U46" s="72">
        <v>120071</v>
      </c>
      <c r="V46" s="72">
        <v>120072</v>
      </c>
      <c r="W46" s="72">
        <v>120073</v>
      </c>
      <c r="X46" s="72">
        <v>120074</v>
      </c>
      <c r="Y46" s="72">
        <v>120075</v>
      </c>
      <c r="Z46" s="72">
        <v>120076</v>
      </c>
      <c r="AA46" s="72">
        <v>120077</v>
      </c>
      <c r="AB46" s="72">
        <v>120078</v>
      </c>
      <c r="AC46" s="72">
        <v>649020</v>
      </c>
    </row>
    <row r="47" spans="1:439" ht="32.1" customHeight="1">
      <c r="A47" s="164"/>
      <c r="B47" s="137" t="str">
        <f>VLOOKUP("Stk",Sprachindex!A:Z,Info!$O$6,FALSE)</f>
        <v>STK</v>
      </c>
      <c r="C47" s="135"/>
      <c r="D47" s="136">
        <f t="shared" si="2"/>
        <v>0</v>
      </c>
      <c r="E47" s="264" t="str">
        <f>VLOOKUP("PREFA Laufstegstütze verzinkt für Laufstege",Sprachindex!A:Z,Info!$O$6,FALSE)</f>
        <v>PREFA Laufstegstütze verzinkt für Laufstege</v>
      </c>
      <c r="F47" s="265"/>
      <c r="G47" s="265"/>
      <c r="H47" s="265"/>
      <c r="I47" s="265"/>
      <c r="J47" s="265"/>
      <c r="K47" s="266"/>
      <c r="L47" s="137" t="str">
        <f t="shared" si="0"/>
        <v/>
      </c>
      <c r="M47" s="138"/>
      <c r="O47" s="1"/>
      <c r="P47" s="11"/>
      <c r="Q47" s="11" t="str">
        <f>ROUNDUP(A47/1,0)*1 &amp;" " &amp; VLOOKUP("Stk",Sprachindex!A:Z,Info!$O$6,FALSE)</f>
        <v>0 STK</v>
      </c>
      <c r="T47" s="72">
        <v>120040</v>
      </c>
      <c r="U47" s="72">
        <v>120041</v>
      </c>
      <c r="V47" s="72">
        <v>120042</v>
      </c>
      <c r="W47" s="72">
        <v>120043</v>
      </c>
      <c r="X47" s="72">
        <v>120044</v>
      </c>
      <c r="Y47" s="72">
        <v>120045</v>
      </c>
      <c r="Z47" s="72">
        <v>120046</v>
      </c>
      <c r="AA47" s="72">
        <v>120047</v>
      </c>
      <c r="AB47" s="72">
        <v>120048</v>
      </c>
      <c r="AC47" s="72">
        <v>649220</v>
      </c>
    </row>
    <row r="48" spans="1:439" ht="32.1" customHeight="1">
      <c r="A48" s="164"/>
      <c r="B48" s="137" t="str">
        <f>VLOOKUP("Stk",Sprachindex!A:Z,Info!$O$6,FALSE)</f>
        <v>STK</v>
      </c>
      <c r="C48" s="135"/>
      <c r="D48" s="136">
        <f t="shared" si="2"/>
        <v>0</v>
      </c>
      <c r="E48" s="264" t="str">
        <f>VLOOKUP("PREFA Laufsteg (250 x 1.200 mm)",Sprachindex!A:Z,Info!$O$6,FALSE)</f>
        <v>PREFA Laufsteg (250 x 1.200 mm)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38"/>
      <c r="O48" s="1"/>
      <c r="P48" s="11"/>
      <c r="Q48" s="11" t="str">
        <f>ROUNDUP(A48/1,0)*1 &amp;" " &amp; VLOOKUP("Stk",Sprachindex!A:Z,Info!$O$6,FALSE)</f>
        <v>0 STK</v>
      </c>
      <c r="T48" s="72">
        <v>120030</v>
      </c>
      <c r="U48" s="72">
        <v>120031</v>
      </c>
      <c r="V48" s="72">
        <v>120032</v>
      </c>
      <c r="W48" s="72">
        <v>120033</v>
      </c>
      <c r="X48" s="72">
        <v>120034</v>
      </c>
      <c r="Y48" s="72">
        <v>120035</v>
      </c>
      <c r="Z48" s="72">
        <v>120036</v>
      </c>
      <c r="AA48" s="72">
        <v>120037</v>
      </c>
      <c r="AB48" s="72">
        <v>120038</v>
      </c>
      <c r="AC48" s="72">
        <v>649221</v>
      </c>
    </row>
    <row r="49" spans="1:39" ht="32.1" customHeight="1">
      <c r="A49" s="164"/>
      <c r="B49" s="137" t="str">
        <f>VLOOKUP("Stk",Sprachindex!A:Z,Info!$O$6,FALSE)</f>
        <v>STK</v>
      </c>
      <c r="C49" s="135"/>
      <c r="D49" s="136">
        <f t="shared" si="2"/>
        <v>0</v>
      </c>
      <c r="E49" s="264" t="str">
        <f>VLOOKUP("PREFA Laufsteg (250 x 800 mm)",Sprachindex!A:Z,Info!$O$6,FALSE)</f>
        <v>PREFA Laufsteg (250 x 800 mm)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38"/>
      <c r="O49" s="1"/>
      <c r="P49" s="11"/>
      <c r="Q49" s="11" t="str">
        <f>ROUNDUP(A49/1,0)*1 &amp;" " &amp; VLOOKUP("Stk",Sprachindex!A:Z,Info!$O$6,FALSE)</f>
        <v>0 STK</v>
      </c>
      <c r="T49" s="72">
        <v>120020</v>
      </c>
      <c r="U49" s="72">
        <v>120021</v>
      </c>
      <c r="V49" s="72">
        <v>120022</v>
      </c>
      <c r="W49" s="72">
        <v>120023</v>
      </c>
      <c r="X49" s="72">
        <v>120024</v>
      </c>
      <c r="Y49" s="72">
        <v>120025</v>
      </c>
      <c r="Z49" s="72">
        <v>120026</v>
      </c>
      <c r="AA49" s="72">
        <v>120027</v>
      </c>
      <c r="AB49" s="72">
        <v>120028</v>
      </c>
      <c r="AC49" s="72">
        <v>649050</v>
      </c>
    </row>
    <row r="50" spans="1:39" ht="32.1" customHeight="1">
      <c r="A50" s="164"/>
      <c r="B50" s="137" t="str">
        <f>VLOOKUP("Stk",Sprachindex!A:Z,Info!$O$6,FALSE)</f>
        <v>STK</v>
      </c>
      <c r="C50" s="135"/>
      <c r="D50" s="136">
        <f t="shared" si="2"/>
        <v>0</v>
      </c>
      <c r="E50" s="264" t="str">
        <f>VLOOKUP("PREFA Laufsteg (250 x 600 mm)",Sprachindex!A:Z,Info!$O$6,FALSE)</f>
        <v>PREFA Laufsteg (250 x 600 mm)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38"/>
      <c r="O50" s="1"/>
      <c r="P50" s="11"/>
      <c r="Q50" s="11" t="str">
        <f>ROUNDUP(A50/1,0)*1 &amp;" " &amp; VLOOKUP("Stk",Sprachindex!A:Z,Info!$O$6,FALSE)</f>
        <v>0 STK</v>
      </c>
      <c r="T50" s="72">
        <v>120060</v>
      </c>
      <c r="U50" s="72">
        <v>120061</v>
      </c>
      <c r="V50" s="72">
        <v>120062</v>
      </c>
      <c r="W50" s="72">
        <v>120063</v>
      </c>
      <c r="X50" s="72">
        <v>120064</v>
      </c>
      <c r="Y50" s="72">
        <v>120065</v>
      </c>
      <c r="Z50" s="72">
        <v>120066</v>
      </c>
      <c r="AA50" s="72">
        <v>120067</v>
      </c>
      <c r="AB50" s="72">
        <v>120068</v>
      </c>
      <c r="AC50" s="72">
        <v>649070</v>
      </c>
    </row>
    <row r="51" spans="1:39" ht="32.1" customHeight="1">
      <c r="A51" s="164"/>
      <c r="B51" s="137" t="str">
        <f>VLOOKUP("Stk",Sprachindex!A:Z,Info!$O$6,FALSE)</f>
        <v>STK</v>
      </c>
      <c r="C51" s="135"/>
      <c r="D51" s="136">
        <f t="shared" si="2"/>
        <v>0</v>
      </c>
      <c r="E51" s="264" t="str">
        <f>VLOOKUP("PREFA Laufsteg (250 x 420 mm)",Sprachindex!A:Z,Info!$O$6,FALSE)</f>
        <v>PREFA Laufsteg (250 x 420 mm)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38"/>
      <c r="O51" s="1"/>
      <c r="P51" s="11"/>
      <c r="Q51" s="11" t="str">
        <f>ROUNDUP(A51/1,0)*1 &amp;" " &amp; VLOOKUP("Stk",Sprachindex!A:Z,Info!$O$6,FALSE)</f>
        <v>0 STK</v>
      </c>
      <c r="T51" s="72">
        <v>120010</v>
      </c>
      <c r="U51" s="72">
        <v>120011</v>
      </c>
      <c r="V51" s="72">
        <v>120012</v>
      </c>
      <c r="W51" s="72">
        <v>120013</v>
      </c>
      <c r="X51" s="72">
        <v>120014</v>
      </c>
      <c r="Y51" s="72">
        <v>120015</v>
      </c>
      <c r="Z51" s="72">
        <v>120016</v>
      </c>
      <c r="AA51" s="72">
        <v>120017</v>
      </c>
      <c r="AB51" s="72">
        <v>120018</v>
      </c>
      <c r="AC51" s="72">
        <v>649030</v>
      </c>
    </row>
    <row r="52" spans="1:39" ht="32.1" customHeight="1">
      <c r="A52" s="164"/>
      <c r="B52" s="137" t="str">
        <f>VLOOKUP("Stk",Sprachindex!A:Z,Info!$O$6,FALSE)</f>
        <v>STK</v>
      </c>
      <c r="C52" s="135"/>
      <c r="D52" s="142">
        <v>649001</v>
      </c>
      <c r="E52" s="264" t="str">
        <f>VLOOKUP("PREFA Verbinder verzinkt für Laufsteg",Sprachindex!A:Z,Info!$O$6,FALSE)</f>
        <v>PREFA Verbinder verzinkt für Laufsteg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38"/>
      <c r="O52" s="1"/>
      <c r="P52" s="11"/>
      <c r="Q52" s="11" t="str">
        <f>ROUNDUP(A52/1,0)*1 &amp;" " &amp; VLOOKUP("Stk",Sprachindex!A:Z,Info!$O$6,FALSE)</f>
        <v>0 STK</v>
      </c>
      <c r="T52" s="75" t="s">
        <v>1554</v>
      </c>
      <c r="U52" s="75" t="s">
        <v>1555</v>
      </c>
      <c r="V52" s="75" t="s">
        <v>1556</v>
      </c>
      <c r="W52" s="75" t="s">
        <v>1557</v>
      </c>
      <c r="X52" s="75" t="s">
        <v>1558</v>
      </c>
      <c r="Y52" s="75" t="s">
        <v>1559</v>
      </c>
      <c r="Z52" s="75" t="s">
        <v>1560</v>
      </c>
      <c r="AA52" s="75" t="s">
        <v>1561</v>
      </c>
      <c r="AB52" s="75" t="s">
        <v>1562</v>
      </c>
      <c r="AC52" s="75" t="s">
        <v>1563</v>
      </c>
      <c r="AD52" s="75" t="s">
        <v>1554</v>
      </c>
      <c r="AE52" s="75" t="s">
        <v>1555</v>
      </c>
      <c r="AF52" s="75" t="s">
        <v>1556</v>
      </c>
      <c r="AG52" s="75" t="s">
        <v>1557</v>
      </c>
      <c r="AH52" s="75" t="s">
        <v>1558</v>
      </c>
      <c r="AI52" s="75" t="s">
        <v>1559</v>
      </c>
      <c r="AJ52" s="75" t="s">
        <v>1560</v>
      </c>
      <c r="AK52" s="75" t="s">
        <v>1561</v>
      </c>
      <c r="AL52" s="75" t="s">
        <v>1562</v>
      </c>
      <c r="AM52" s="75" t="s">
        <v>1563</v>
      </c>
    </row>
    <row r="53" spans="1:39" ht="32.1" customHeight="1">
      <c r="A53" s="164"/>
      <c r="B53" s="137" t="str">
        <f>VLOOKUP("Stk",Sprachindex!A:Z,Info!$O$6,FALSE)</f>
        <v>STK</v>
      </c>
      <c r="C53" s="146"/>
      <c r="D53" s="142">
        <v>635661</v>
      </c>
      <c r="E53" s="264" t="str">
        <f>VLOOKUP("PREFA Dach-Sicherheitshaken nach EN 517B auf Fussteilen",Sprachindex!A:Z,Info!$O$6,FALSE)</f>
        <v>PREFA Dach-Sicherheitshaken nach EN 517B auf Fussteilen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47"/>
      <c r="O53" s="1"/>
      <c r="P53" s="11"/>
      <c r="Q53" s="11" t="str">
        <f>ROUNDUP(A53/1,0)*1 &amp;" " &amp; VLOOKUP("Stk",Sprachindex!A:Z,Info!$O$6,FALSE)</f>
        <v>0 STK</v>
      </c>
    </row>
    <row r="54" spans="1:39" ht="32.1" customHeight="1">
      <c r="A54" s="164"/>
      <c r="B54" s="137" t="str">
        <f>VLOOKUP("Stk",Sprachindex!A:Z,Info!$O$6,FALSE)</f>
        <v>STK</v>
      </c>
      <c r="C54" s="146"/>
      <c r="D54" s="136">
        <f>IF($N$20=1,T54,IF($N$20=4,U54,IF($N$20=5,V54,IF($N$20=11,W54,IF($N$20=7,X54,IF($N$20=3,Y54,IF($N$20=6,Z54,IF($N$20=9,AA54,IF($N$20=2,AB54,IF($N$20=8,AC54,0))))))))))</f>
        <v>0</v>
      </c>
      <c r="E54" s="264" t="str">
        <f>VLOOKUP("PREFA Dach-Sicherheitshaken nach EN 517B",Sprachindex!A:Z,Info!$O$6,FALSE)</f>
        <v>PREFA Dach-Sicherheitshaken nach EN 517B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47"/>
      <c r="O54" s="1"/>
      <c r="P54" s="11"/>
      <c r="Q54" s="11" t="str">
        <f>ROUNDUP(A54/1,0)*1 &amp;" " &amp; VLOOKUP("Stk",Sprachindex!A:Z,Info!$O$6,FALSE)</f>
        <v>0 STK</v>
      </c>
      <c r="T54" s="72">
        <v>120000</v>
      </c>
      <c r="U54" s="72">
        <v>120001</v>
      </c>
      <c r="V54" s="72">
        <v>120002</v>
      </c>
      <c r="W54" s="72">
        <v>120003</v>
      </c>
      <c r="X54" s="72">
        <v>120004</v>
      </c>
      <c r="Y54" s="72">
        <v>120005</v>
      </c>
      <c r="Z54" s="72">
        <v>120006</v>
      </c>
      <c r="AA54" s="72">
        <v>120007</v>
      </c>
      <c r="AB54" s="72">
        <v>120008</v>
      </c>
      <c r="AC54" s="72">
        <v>635550</v>
      </c>
    </row>
    <row r="55" spans="1:39" ht="32.1" customHeight="1">
      <c r="A55" s="164"/>
      <c r="B55" s="137" t="str">
        <f>VLOOKUP("Stk",Sprachindex!A:Z,Info!$O$6,FALSE)</f>
        <v>STK</v>
      </c>
      <c r="C55" s="146"/>
      <c r="D55" s="136">
        <f>IF($N$20=1,T55,IF($N$20=4,U55,IF($N$20=5,V55,IF($N$20=11,W55,IF($N$20=7,X55,IF($N$20=3,Y55,IF($N$20=6,Z55,IF($N$20=9,AA55,IF($N$20=2,AB55,IF($N$20=8,AC55,0))))))))))</f>
        <v>0</v>
      </c>
      <c r="E55" s="264" t="str">
        <f>VLOOKUP("PREFA Einfassungsplatte für Dachraute 44 × 44, glatt, ⌀ 80–125 mm",Sprachindex!A:Z,Info!$O$6,FALSE)</f>
        <v>PREFA Einfassungsplatte für Dachraute 44 × 44, glatt, ⌀ 80–125 mm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47"/>
      <c r="O55" s="1"/>
      <c r="P55" s="11"/>
      <c r="Q55" s="11" t="str">
        <f>ROUNDUP(A55/1,0)*1 &amp;" " &amp; VLOOKUP("Stk",Sprachindex!A:Z,Info!$O$6,FALSE)</f>
        <v>0 STK</v>
      </c>
      <c r="T55" s="72">
        <v>112321</v>
      </c>
      <c r="U55" s="72">
        <v>112322</v>
      </c>
      <c r="V55" s="72">
        <v>112323</v>
      </c>
      <c r="W55" s="72">
        <v>112324</v>
      </c>
      <c r="X55" s="72">
        <v>112325</v>
      </c>
      <c r="Y55" s="72">
        <v>112326</v>
      </c>
      <c r="Z55" s="72">
        <v>112327</v>
      </c>
      <c r="AA55" s="72">
        <v>112328</v>
      </c>
      <c r="AB55" s="72">
        <v>112329</v>
      </c>
      <c r="AC55" s="72">
        <v>112320</v>
      </c>
    </row>
    <row r="56" spans="1:39" ht="32.1" customHeight="1">
      <c r="A56" s="164"/>
      <c r="B56" s="137" t="str">
        <f>VLOOKUP("Stk",Sprachindex!A:Z,Info!$O$6,FALSE)</f>
        <v>STK</v>
      </c>
      <c r="C56" s="146"/>
      <c r="D56" s="136">
        <f t="shared" ref="D56:D78" si="3">IF($N$20=1,T56,IF($N$20=4,U56,IF($N$20=5,V56,IF($N$20=11,W56,IF($N$20=7,X56,IF($N$20=3,Y56,IF($N$20=6,Z56,IF($N$20=9,AA56,IF($N$20=2,AB56,IF($N$20=8,AC56,0))))))))))</f>
        <v>0</v>
      </c>
      <c r="E56" s="264" t="str">
        <f>VLOOKUP("PREFA Universaleinfassung 2-teilig, glatt, Ø 40 - 120 mm",Sprachindex!A:Z,Info!$O$6,FALSE)</f>
        <v>PREFA Universaleinfassung 2-teilig, glatt, Ø 40 - 120 mm</v>
      </c>
      <c r="F56" s="265"/>
      <c r="G56" s="265"/>
      <c r="H56" s="265"/>
      <c r="I56" s="265"/>
      <c r="J56" s="265"/>
      <c r="K56" s="266"/>
      <c r="L56" s="137" t="str">
        <f t="shared" ref="L56:L82" si="4">IF(A56=0,"",IF($N$10=1,P56,Q56))</f>
        <v/>
      </c>
      <c r="M56" s="147"/>
      <c r="O56" s="1"/>
      <c r="P56" s="11"/>
      <c r="Q56" s="11" t="str">
        <f>ROUNDUP(A56/1,0)*1 &amp;" " &amp; VLOOKUP("Stk",Sprachindex!A:Z,Info!$O$6,FALSE)</f>
        <v>0 STK</v>
      </c>
      <c r="T56" s="72">
        <v>110240</v>
      </c>
      <c r="U56" s="72">
        <v>110241</v>
      </c>
      <c r="V56" s="72">
        <v>110242</v>
      </c>
      <c r="W56" s="72">
        <v>110243</v>
      </c>
      <c r="X56" s="72">
        <v>110244</v>
      </c>
      <c r="Y56" s="72">
        <v>110245</v>
      </c>
      <c r="Z56" s="72">
        <v>110246</v>
      </c>
      <c r="AA56" s="72">
        <v>110247</v>
      </c>
      <c r="AB56" s="72">
        <v>110248</v>
      </c>
      <c r="AC56" s="72">
        <v>513032</v>
      </c>
    </row>
    <row r="57" spans="1:39" ht="32.1" customHeight="1">
      <c r="A57" s="164"/>
      <c r="B57" s="137" t="str">
        <f>VLOOKUP("Stk",Sprachindex!A:Z,Info!$O$6,FALSE)</f>
        <v>STK</v>
      </c>
      <c r="C57" s="146"/>
      <c r="D57" s="136">
        <f t="shared" si="3"/>
        <v>0</v>
      </c>
      <c r="E57" s="264" t="str">
        <f>VLOOKUP("PREFA Entlüftungshaube Ø 100, glatt",Sprachindex!A:Z,Info!$O$6,FALSE)</f>
        <v>PREFA Entlüftungshaube Ø 100, glatt</v>
      </c>
      <c r="F57" s="265"/>
      <c r="G57" s="265"/>
      <c r="H57" s="265"/>
      <c r="I57" s="265"/>
      <c r="J57" s="265"/>
      <c r="K57" s="266"/>
      <c r="L57" s="137" t="str">
        <f t="shared" si="4"/>
        <v/>
      </c>
      <c r="M57" s="147"/>
      <c r="O57" s="1"/>
      <c r="P57" s="11"/>
      <c r="Q57" s="11" t="str">
        <f>ROUNDUP(A57/1,0)*1 &amp;" " &amp; VLOOKUP("Stk",Sprachindex!A:Z,Info!$O$6,FALSE)</f>
        <v>0 STK</v>
      </c>
      <c r="T57" s="72">
        <v>110280</v>
      </c>
      <c r="U57" s="72">
        <v>110281</v>
      </c>
      <c r="V57" s="72">
        <v>110282</v>
      </c>
      <c r="W57" s="72">
        <v>110283</v>
      </c>
      <c r="X57" s="72">
        <v>110284</v>
      </c>
      <c r="Y57" s="72">
        <v>110285</v>
      </c>
      <c r="Z57" s="72">
        <v>110286</v>
      </c>
      <c r="AA57" s="72">
        <v>110287</v>
      </c>
      <c r="AB57" s="72">
        <v>110288</v>
      </c>
      <c r="AC57" s="72">
        <v>513006</v>
      </c>
    </row>
    <row r="58" spans="1:39" ht="32.1" customHeight="1">
      <c r="A58" s="164"/>
      <c r="B58" s="137" t="str">
        <f>VLOOKUP("Stk",Sprachindex!A:Z,Info!$O$6,FALSE)</f>
        <v>STK</v>
      </c>
      <c r="C58" s="146"/>
      <c r="D58" s="136">
        <f t="shared" si="3"/>
        <v>0</v>
      </c>
      <c r="E58" s="264" t="str">
        <f>VLOOKUP("PREFA Entlüftungsrohr ⌀ 100, passend für HT-Rohr NW 110",Sprachindex!A:Z,Info!$O$6,FALSE)</f>
        <v>PREFA Entlüftungsrohr ⌀ 100, passend für HT-Rohr NW 110</v>
      </c>
      <c r="F58" s="265"/>
      <c r="G58" s="265"/>
      <c r="H58" s="265"/>
      <c r="I58" s="265"/>
      <c r="J58" s="265"/>
      <c r="K58" s="266"/>
      <c r="L58" s="137" t="str">
        <f t="shared" si="4"/>
        <v/>
      </c>
      <c r="M58" s="147"/>
      <c r="O58" s="1"/>
      <c r="P58" s="11"/>
      <c r="Q58" s="11" t="str">
        <f>ROUNDUP(A58/1,0)*1 &amp;" " &amp; VLOOKUP("Stk",Sprachindex!A:Z,Info!$O$6,FALSE)</f>
        <v>0 STK</v>
      </c>
      <c r="T58" s="72">
        <v>110200</v>
      </c>
      <c r="U58" s="72">
        <v>110201</v>
      </c>
      <c r="V58" s="72">
        <v>110202</v>
      </c>
      <c r="W58" s="72">
        <v>110203</v>
      </c>
      <c r="X58" s="72">
        <v>110204</v>
      </c>
      <c r="Y58" s="72">
        <v>110205</v>
      </c>
      <c r="Z58" s="72">
        <v>110206</v>
      </c>
      <c r="AA58" s="72">
        <v>110207</v>
      </c>
      <c r="AB58" s="72">
        <v>110208</v>
      </c>
      <c r="AC58" s="72">
        <v>513029</v>
      </c>
    </row>
    <row r="59" spans="1:39" ht="32.1" customHeight="1">
      <c r="A59" s="164"/>
      <c r="B59" s="137" t="str">
        <f>VLOOKUP("Stk",Sprachindex!A:Z,Info!$O$6,FALSE)</f>
        <v>STK</v>
      </c>
      <c r="C59" s="146"/>
      <c r="D59" s="136">
        <f t="shared" si="3"/>
        <v>0</v>
      </c>
      <c r="E59" s="264" t="str">
        <f>VLOOKUP("PREFA Entlüftungsrohr ⌀ 120, passend für HT-Rohr NW 125",Sprachindex!A:Z,Info!$O$6,FALSE)</f>
        <v>PREFA Entlüftungsrohr ⌀ 120, passend für HT-Rohr NW 125</v>
      </c>
      <c r="F59" s="265"/>
      <c r="G59" s="265"/>
      <c r="H59" s="265"/>
      <c r="I59" s="265"/>
      <c r="J59" s="265"/>
      <c r="K59" s="266"/>
      <c r="L59" s="137" t="str">
        <f t="shared" si="4"/>
        <v/>
      </c>
      <c r="M59" s="147"/>
      <c r="O59" s="1"/>
      <c r="P59" s="11"/>
      <c r="Q59" s="11" t="str">
        <f>ROUNDUP(A59/1,0)*1 &amp;" " &amp; VLOOKUP("Stk",Sprachindex!A:Z,Info!$O$6,FALSE)</f>
        <v>0 STK</v>
      </c>
      <c r="T59" s="72">
        <v>110210</v>
      </c>
      <c r="U59" s="72">
        <v>110211</v>
      </c>
      <c r="V59" s="72">
        <v>110212</v>
      </c>
      <c r="W59" s="72">
        <v>110213</v>
      </c>
      <c r="X59" s="72">
        <v>110214</v>
      </c>
      <c r="Y59" s="72">
        <v>110215</v>
      </c>
      <c r="Z59" s="72">
        <v>110216</v>
      </c>
      <c r="AA59" s="72">
        <v>110217</v>
      </c>
      <c r="AB59" s="72">
        <v>110218</v>
      </c>
      <c r="AC59" s="72">
        <v>513083</v>
      </c>
    </row>
    <row r="60" spans="1:39" ht="32.1" customHeight="1">
      <c r="A60" s="164"/>
      <c r="B60" s="137" t="str">
        <f>VLOOKUP("Stk",Sprachindex!A:Z,Info!$O$6,FALSE)</f>
        <v>STK</v>
      </c>
      <c r="C60" s="146"/>
      <c r="D60" s="142">
        <v>340943</v>
      </c>
      <c r="E60" s="264" t="str">
        <f>VLOOKUP("PREFA Faltmanschette Ø 100-130",Sprachindex!A:Z,Info!$O$6,FALSE)</f>
        <v>PREFA Faltmanschette Ø 100-130</v>
      </c>
      <c r="F60" s="265"/>
      <c r="G60" s="265"/>
      <c r="H60" s="265"/>
      <c r="I60" s="265"/>
      <c r="J60" s="265"/>
      <c r="K60" s="266"/>
      <c r="L60" s="137" t="str">
        <f t="shared" si="4"/>
        <v/>
      </c>
      <c r="M60" s="147"/>
      <c r="O60" s="1"/>
      <c r="P60" s="11"/>
      <c r="Q60" s="11" t="str">
        <f>ROUNDUP(A60/1,0)*1 &amp;" " &amp; VLOOKUP("Stk",Sprachindex!A:Z,Info!$O$6,FALSE)</f>
        <v>0 STK</v>
      </c>
      <c r="T60" s="75" t="s">
        <v>1554</v>
      </c>
      <c r="U60" s="75" t="s">
        <v>1555</v>
      </c>
      <c r="V60" s="75" t="s">
        <v>1556</v>
      </c>
      <c r="W60" s="75" t="s">
        <v>1557</v>
      </c>
      <c r="X60" s="75" t="s">
        <v>1558</v>
      </c>
      <c r="Y60" s="75" t="s">
        <v>1559</v>
      </c>
      <c r="Z60" s="75" t="s">
        <v>1560</v>
      </c>
      <c r="AA60" s="75" t="s">
        <v>1561</v>
      </c>
      <c r="AB60" s="75" t="s">
        <v>1562</v>
      </c>
      <c r="AC60" s="75" t="s">
        <v>1563</v>
      </c>
      <c r="AD60" s="75" t="s">
        <v>1554</v>
      </c>
      <c r="AE60" s="75" t="s">
        <v>1555</v>
      </c>
      <c r="AF60" s="75" t="s">
        <v>1556</v>
      </c>
      <c r="AG60" s="75" t="s">
        <v>1557</v>
      </c>
      <c r="AH60" s="75" t="s">
        <v>1558</v>
      </c>
      <c r="AI60" s="75" t="s">
        <v>1559</v>
      </c>
      <c r="AJ60" s="75" t="s">
        <v>1560</v>
      </c>
      <c r="AK60" s="75" t="s">
        <v>1561</v>
      </c>
      <c r="AL60" s="75" t="s">
        <v>1562</v>
      </c>
      <c r="AM60" s="75" t="s">
        <v>1563</v>
      </c>
    </row>
    <row r="61" spans="1:39" ht="32.1" customHeight="1">
      <c r="A61" s="164"/>
      <c r="B61" s="137" t="str">
        <f>VLOOKUP("Stk",Sprachindex!A:Z,Info!$O$6,FALSE)</f>
        <v>STK</v>
      </c>
      <c r="C61" s="146"/>
      <c r="D61" s="136">
        <f t="shared" ref="D61" si="5">IF(AND($N$8=2,$N$20=1),T61,IF(AND($N$8=2,$N$20=4),U61,IF(AND($N$8=2,$N$20=5),V61,IF(AND($N$8=2,$N$20=11),W61,IF(AND($N$8=2,$N$20=7),X61,IF(AND($N$8=2,$N$20=3),Y61,IF(AND($N$8=2,$N$20=6),Z61,IF(AND($N$8=2,$N$20=9),AA61,IF(AND($N$8=2,$N$20=2),AB61,IF(AND($N$8=2,$N$20=8),AC61,IF(AND($N$8=1,$N$20=1),AD61,IF(AND($N$8=1,$N$20=1),AD61,IF(AND($N$8=1,$N$20=4),AE61,IF(AND($N$8=1,$N$20=5),AF61,IF(AND($N$8=1,$N$20=11),AG61,IF(AND($N$8=1,$N$20=7),AH61,IF(AND($N$8=1,$N$20=3),AI61,IF(AND($N$8=1,$N$20=6),AJ61,IF(AND($N$8=1,$N$20=9),AK61,IF(AND($N$8=1,$N$20=2),AL61,IF(AND($N$8=1,$N$20=8),AM61,0)))))))))))))))))))))</f>
        <v>0</v>
      </c>
      <c r="E61" s="264" t="str">
        <f>VLOOKUP("PREFA Unterlagsplatte L=660 x B=125 mm, stucco",Sprachindex!A:Z,Info!$O$6,FALSE)</f>
        <v>PREFA Unterlagsplatte L=660 x B=125 mm, stucco</v>
      </c>
      <c r="F61" s="265"/>
      <c r="G61" s="265"/>
      <c r="H61" s="265"/>
      <c r="I61" s="265"/>
      <c r="J61" s="265"/>
      <c r="K61" s="266"/>
      <c r="L61" s="137" t="str">
        <f t="shared" si="4"/>
        <v/>
      </c>
      <c r="M61" s="147"/>
      <c r="O61" s="1"/>
      <c r="P61" s="11"/>
      <c r="Q61" s="11" t="str">
        <f>ROUNDUP(A61/1,0)*1 &amp;" " &amp; VLOOKUP("Stk",Sprachindex!A:Z,Info!$O$6,FALSE)</f>
        <v>0 STK</v>
      </c>
      <c r="T61" s="72">
        <v>112381</v>
      </c>
      <c r="U61" s="72">
        <v>112382</v>
      </c>
      <c r="V61" s="72">
        <v>112383</v>
      </c>
      <c r="W61" s="72">
        <v>112384</v>
      </c>
      <c r="X61" s="72">
        <v>112385</v>
      </c>
      <c r="Y61" s="72">
        <v>112386</v>
      </c>
      <c r="Z61" s="72">
        <v>112387</v>
      </c>
      <c r="AA61" s="72">
        <v>112388</v>
      </c>
      <c r="AB61" s="72">
        <v>112389</v>
      </c>
      <c r="AC61" s="72">
        <v>112380</v>
      </c>
      <c r="AD61" s="72">
        <v>112361</v>
      </c>
      <c r="AE61" s="72">
        <v>112362</v>
      </c>
      <c r="AF61" s="72">
        <v>112363</v>
      </c>
      <c r="AG61" s="72">
        <v>112364</v>
      </c>
      <c r="AH61" s="72">
        <v>112365</v>
      </c>
      <c r="AI61" s="72">
        <v>112366</v>
      </c>
      <c r="AJ61" s="72">
        <v>112367</v>
      </c>
      <c r="AK61" s="72">
        <v>112368</v>
      </c>
      <c r="AL61" s="72">
        <v>112369</v>
      </c>
      <c r="AM61" s="72">
        <v>112360</v>
      </c>
    </row>
    <row r="62" spans="1:39" ht="32.1" customHeight="1">
      <c r="A62" s="164"/>
      <c r="B62" s="137" t="str">
        <f>VLOOKUP("Stk",Sprachindex!A:Z,Info!$O$6,FALSE)</f>
        <v>STK</v>
      </c>
      <c r="C62" s="146"/>
      <c r="D62" s="136">
        <f t="shared" si="3"/>
        <v>0</v>
      </c>
      <c r="E62" s="264" t="str">
        <f>VLOOKUP("PREFA Schneestopper für Dachraute 44 × 44",Sprachindex!A:Z,Info!$O$6,FALSE)</f>
        <v>PREFA Schneestopper für Dachraute 44 × 44</v>
      </c>
      <c r="F62" s="265"/>
      <c r="G62" s="265"/>
      <c r="H62" s="265"/>
      <c r="I62" s="265"/>
      <c r="J62" s="265"/>
      <c r="K62" s="266"/>
      <c r="L62" s="137" t="str">
        <f t="shared" si="4"/>
        <v/>
      </c>
      <c r="M62" s="147"/>
      <c r="O62" s="1"/>
      <c r="P62" s="11"/>
      <c r="Q62" s="11" t="str">
        <f>ROUNDUP(A62/1,0)*1 &amp;" " &amp; VLOOKUP("Stk",Sprachindex!A:Z,Info!$O$6,FALSE)</f>
        <v>0 STK</v>
      </c>
      <c r="T62" s="72">
        <v>112341</v>
      </c>
      <c r="U62" s="72">
        <v>112342</v>
      </c>
      <c r="V62" s="72">
        <v>112343</v>
      </c>
      <c r="W62" s="72">
        <v>112344</v>
      </c>
      <c r="X62" s="72">
        <v>112345</v>
      </c>
      <c r="Y62" s="72">
        <v>112346</v>
      </c>
      <c r="Z62" s="72">
        <v>112347</v>
      </c>
      <c r="AA62" s="72">
        <v>112348</v>
      </c>
      <c r="AB62" s="72">
        <v>112349</v>
      </c>
      <c r="AC62" s="72">
        <v>112340</v>
      </c>
    </row>
    <row r="63" spans="1:39" ht="32.1" customHeight="1">
      <c r="A63" s="164"/>
      <c r="B63" s="137" t="str">
        <f>VLOOKUP("Stk",Sprachindex!A:Z,Info!$O$6,FALSE)</f>
        <v>STK</v>
      </c>
      <c r="C63" s="146"/>
      <c r="D63" s="136">
        <f t="shared" si="3"/>
        <v>0</v>
      </c>
      <c r="E63" s="264" t="str">
        <f>VLOOKUP("PREFA Schneerechenhaken",Sprachindex!A:Z,Info!$O$6,FALSE)</f>
        <v>PREFA Schneerechenhaken</v>
      </c>
      <c r="F63" s="265"/>
      <c r="G63" s="265"/>
      <c r="H63" s="265"/>
      <c r="I63" s="265"/>
      <c r="J63" s="265"/>
      <c r="K63" s="266"/>
      <c r="L63" s="137" t="str">
        <f t="shared" si="4"/>
        <v/>
      </c>
      <c r="M63" s="147"/>
      <c r="O63" s="1"/>
      <c r="P63" s="11"/>
      <c r="Q63" s="11" t="str">
        <f>ROUNDUP(A63/1,0)*1 &amp;" " &amp; VLOOKUP("Stk",Sprachindex!A:Z,Info!$O$6,FALSE)</f>
        <v>0 STK</v>
      </c>
      <c r="T63" s="72">
        <v>120130</v>
      </c>
      <c r="U63" s="72">
        <v>120131</v>
      </c>
      <c r="V63" s="72">
        <v>120132</v>
      </c>
      <c r="W63" s="72">
        <v>120133</v>
      </c>
      <c r="X63" s="72">
        <v>120134</v>
      </c>
      <c r="Y63" s="72">
        <v>120135</v>
      </c>
      <c r="Z63" s="72">
        <v>120136</v>
      </c>
      <c r="AA63" s="72">
        <v>120137</v>
      </c>
      <c r="AB63" s="72">
        <v>120138</v>
      </c>
      <c r="AC63" s="72">
        <v>515006</v>
      </c>
    </row>
    <row r="64" spans="1:39" ht="32.1" customHeight="1">
      <c r="A64" s="164"/>
      <c r="B64" s="137" t="str">
        <f>VLOOKUP("lfm",Sprachindex!A:Z,Info!$O$6,FALSE)</f>
        <v>lfm</v>
      </c>
      <c r="C64" s="146"/>
      <c r="D64" s="136">
        <f t="shared" si="3"/>
        <v>0</v>
      </c>
      <c r="E64" s="264" t="str">
        <f>VLOOKUP("PREFA Rundstange (15 Ø x 3.000 mm) für Schneerechenhaken",Sprachindex!A:Z,Info!$O$6,FALSE)</f>
        <v>PREFA Rundstange (15 Ø x 3.000 mm) für Schneerechenhaken</v>
      </c>
      <c r="F64" s="265"/>
      <c r="G64" s="265"/>
      <c r="H64" s="265"/>
      <c r="I64" s="265"/>
      <c r="J64" s="265"/>
      <c r="K64" s="266"/>
      <c r="L64" s="137" t="str">
        <f t="shared" si="4"/>
        <v/>
      </c>
      <c r="M64" s="147"/>
      <c r="O64" s="1"/>
      <c r="P64" s="11"/>
      <c r="Q64" s="11" t="str">
        <f>ROUNDUP(A64/3,0)*3 &amp;" " &amp; VLOOKUP("lfm",Sprachindex!A:Z,Info!$O$6,FALSE)</f>
        <v>0 lfm</v>
      </c>
      <c r="T64" s="72">
        <v>120300</v>
      </c>
      <c r="U64" s="72">
        <v>120301</v>
      </c>
      <c r="V64" s="72">
        <v>120302</v>
      </c>
      <c r="W64" s="72">
        <v>120303</v>
      </c>
      <c r="X64" s="72">
        <v>120304</v>
      </c>
      <c r="Y64" s="72">
        <v>120305</v>
      </c>
      <c r="Z64" s="72">
        <v>120306</v>
      </c>
      <c r="AA64" s="72">
        <v>120307</v>
      </c>
      <c r="AB64" s="72">
        <v>120308</v>
      </c>
      <c r="AC64" s="72">
        <v>569003</v>
      </c>
    </row>
    <row r="65" spans="1:29" ht="32.1" customHeight="1">
      <c r="A65" s="164"/>
      <c r="B65" s="137" t="str">
        <f>VLOOKUP("Stk",Sprachindex!A:Z,Info!$O$6,FALSE)</f>
        <v>STK</v>
      </c>
      <c r="C65" s="146"/>
      <c r="D65" s="136">
        <f t="shared" si="3"/>
        <v>0</v>
      </c>
      <c r="E65" s="264" t="str">
        <f>VLOOKUP("PREFA Abschluss für Schneerechen",Sprachindex!A:Z,Info!$O$6,FALSE)</f>
        <v>PREFA Abschluss für Schneerechen</v>
      </c>
      <c r="F65" s="265"/>
      <c r="G65" s="265"/>
      <c r="H65" s="265"/>
      <c r="I65" s="265"/>
      <c r="J65" s="265"/>
      <c r="K65" s="266"/>
      <c r="L65" s="137" t="str">
        <f t="shared" si="4"/>
        <v/>
      </c>
      <c r="M65" s="147"/>
      <c r="O65" s="1"/>
      <c r="P65" s="11"/>
      <c r="Q65" s="11" t="str">
        <f>ROUNDUP(A65/1,0)*1 &amp;" " &amp; VLOOKUP("Stk",Sprachindex!A:Z,Info!$O$6,FALSE)</f>
        <v>0 STK</v>
      </c>
      <c r="T65" s="72">
        <v>120380</v>
      </c>
      <c r="U65" s="72">
        <v>120381</v>
      </c>
      <c r="V65" s="72">
        <v>120382</v>
      </c>
      <c r="W65" s="72">
        <v>120383</v>
      </c>
      <c r="X65" s="72">
        <v>120384</v>
      </c>
      <c r="Y65" s="72">
        <v>120385</v>
      </c>
      <c r="Z65" s="72">
        <v>120386</v>
      </c>
      <c r="AA65" s="72">
        <v>120387</v>
      </c>
      <c r="AB65" s="72">
        <v>120388</v>
      </c>
      <c r="AC65" s="72">
        <v>537170</v>
      </c>
    </row>
    <row r="66" spans="1:29" ht="32.1" customHeight="1">
      <c r="A66" s="164"/>
      <c r="B66" s="137" t="str">
        <f>VLOOKUP("Stk",Sprachindex!A:Z,Info!$O$6,FALSE)</f>
        <v>STK</v>
      </c>
      <c r="C66" s="146"/>
      <c r="D66" s="136">
        <f t="shared" si="3"/>
        <v>0</v>
      </c>
      <c r="E66" s="264" t="str">
        <f>VLOOKUP("PREFA Schneerechensystem (205 x 66 x 303 mm)",Sprachindex!A:Z,Info!$O$6,FALSE)</f>
        <v>PREFA Schneerechensystem (205 x 66 x 303 mm)</v>
      </c>
      <c r="F66" s="265"/>
      <c r="G66" s="265"/>
      <c r="H66" s="265"/>
      <c r="I66" s="265"/>
      <c r="J66" s="265"/>
      <c r="K66" s="266"/>
      <c r="L66" s="137" t="str">
        <f t="shared" si="4"/>
        <v/>
      </c>
      <c r="M66" s="147"/>
      <c r="O66" s="1"/>
      <c r="P66" s="11"/>
      <c r="Q66" s="11" t="str">
        <f>ROUNDUP(A66/2,0)*2 &amp;" " &amp; VLOOKUP("Stk",Sprachindex!A:Z,Info!$O$6,FALSE)</f>
        <v>0 STK</v>
      </c>
      <c r="T66" s="72">
        <v>120180</v>
      </c>
      <c r="U66" s="72">
        <v>120181</v>
      </c>
      <c r="V66" s="72">
        <v>120182</v>
      </c>
      <c r="W66" s="72">
        <v>120183</v>
      </c>
      <c r="X66" s="72">
        <v>120184</v>
      </c>
      <c r="Y66" s="72">
        <v>120185</v>
      </c>
      <c r="Z66" s="72">
        <v>120186</v>
      </c>
      <c r="AA66" s="72">
        <v>120187</v>
      </c>
      <c r="AB66" s="72">
        <v>120188</v>
      </c>
      <c r="AC66" s="72">
        <v>515311</v>
      </c>
    </row>
    <row r="67" spans="1:29" ht="32.1" customHeight="1">
      <c r="A67" s="164"/>
      <c r="B67" s="137" t="str">
        <f>VLOOKUP("lfm",Sprachindex!A:Z,Info!$O$6,FALSE)</f>
        <v>lfm</v>
      </c>
      <c r="C67" s="146"/>
      <c r="D67" s="136">
        <f t="shared" si="3"/>
        <v>0</v>
      </c>
      <c r="E67" s="264" t="str">
        <f>VLOOKUP("PREFA Schneerechensystem Einlegprofil (3.000 mm)",Sprachindex!A:Z,Info!$O$6,FALSE)</f>
        <v>PREFA Schneerechensystem Einlegprofil (3.000 mm)</v>
      </c>
      <c r="F67" s="265"/>
      <c r="G67" s="265"/>
      <c r="H67" s="265"/>
      <c r="I67" s="265"/>
      <c r="J67" s="265"/>
      <c r="K67" s="266"/>
      <c r="L67" s="137" t="str">
        <f t="shared" si="4"/>
        <v/>
      </c>
      <c r="M67" s="147"/>
      <c r="O67" s="1"/>
      <c r="P67" s="11"/>
      <c r="Q67" s="11" t="str">
        <f>ROUNDUP(A67/3,0)*3 &amp;" " &amp; VLOOKUP("lfm",Sprachindex!A:Z,Info!$O$6,FALSE)</f>
        <v>0 lfm</v>
      </c>
      <c r="T67" s="72">
        <v>120350</v>
      </c>
      <c r="U67" s="72">
        <v>120351</v>
      </c>
      <c r="V67" s="72">
        <v>120352</v>
      </c>
      <c r="W67" s="72">
        <v>120353</v>
      </c>
      <c r="X67" s="72">
        <v>120354</v>
      </c>
      <c r="Y67" s="72">
        <v>120355</v>
      </c>
      <c r="Z67" s="72">
        <v>120356</v>
      </c>
      <c r="AA67" s="72">
        <v>120357</v>
      </c>
      <c r="AB67" s="72">
        <v>120358</v>
      </c>
      <c r="AC67" s="1">
        <v>669600</v>
      </c>
    </row>
    <row r="68" spans="1:29" ht="32.1" customHeight="1">
      <c r="A68" s="164"/>
      <c r="B68" s="137" t="str">
        <f>VLOOKUP("Stk",Sprachindex!A:Z,Info!$O$6,FALSE)</f>
        <v>STK</v>
      </c>
      <c r="C68" s="146"/>
      <c r="D68" s="136">
        <f t="shared" si="3"/>
        <v>0</v>
      </c>
      <c r="E68" s="264" t="str">
        <f>VLOOKUP("PREFA Schneerechensystem Eiskralle",Sprachindex!A:Z,Info!$O$6,FALSE)</f>
        <v>PREFA Schneerechensystem Eiskralle</v>
      </c>
      <c r="F68" s="265"/>
      <c r="G68" s="265"/>
      <c r="H68" s="265"/>
      <c r="I68" s="265"/>
      <c r="J68" s="265"/>
      <c r="K68" s="266"/>
      <c r="L68" s="137" t="str">
        <f t="shared" si="4"/>
        <v/>
      </c>
      <c r="M68" s="147"/>
      <c r="O68" s="1"/>
      <c r="P68" s="11"/>
      <c r="Q68" s="11" t="str">
        <f>ROUNDUP(A68/1,0)*1 &amp;" " &amp; VLOOKUP("Stk",Sprachindex!A:Z,Info!$O$6,FALSE)</f>
        <v>0 STK</v>
      </c>
      <c r="T68" s="72">
        <v>120700</v>
      </c>
      <c r="U68" s="72">
        <v>120701</v>
      </c>
      <c r="V68" s="72">
        <v>120702</v>
      </c>
      <c r="W68" s="72">
        <v>120703</v>
      </c>
      <c r="X68" s="72">
        <v>120704</v>
      </c>
      <c r="Y68" s="72">
        <v>120705</v>
      </c>
      <c r="Z68" s="72">
        <v>120706</v>
      </c>
      <c r="AA68" s="72">
        <v>120707</v>
      </c>
      <c r="AB68" s="72">
        <v>120708</v>
      </c>
      <c r="AC68" s="72">
        <v>649651</v>
      </c>
    </row>
    <row r="69" spans="1:29" ht="32.1" customHeight="1">
      <c r="A69" s="164"/>
      <c r="B69" s="137" t="str">
        <f>VLOOKUP("Stk",Sprachindex!A:Z,Info!$O$6,FALSE)</f>
        <v>STK</v>
      </c>
      <c r="C69" s="146"/>
      <c r="D69" s="136">
        <f t="shared" si="3"/>
        <v>0</v>
      </c>
      <c r="E69" s="264" t="str">
        <f>VLOOKUP("PREFA Schneerechensystem Abschluss",Sprachindex!A:Z,Info!$O$6,FALSE)</f>
        <v>PREFA Schneerechensystem Abschluss</v>
      </c>
      <c r="F69" s="265"/>
      <c r="G69" s="265"/>
      <c r="H69" s="265"/>
      <c r="I69" s="265"/>
      <c r="J69" s="265"/>
      <c r="K69" s="266"/>
      <c r="L69" s="137" t="str">
        <f t="shared" si="4"/>
        <v/>
      </c>
      <c r="M69" s="147"/>
      <c r="O69" s="1"/>
      <c r="P69" s="11"/>
      <c r="Q69" s="11" t="str">
        <f>ROUNDUP(A69/1,0)*1 &amp;" " &amp; VLOOKUP("Stk",Sprachindex!A:Z,Info!$O$6,FALSE)</f>
        <v>0 STK</v>
      </c>
      <c r="T69" s="72">
        <v>120390</v>
      </c>
      <c r="U69" s="72">
        <v>120391</v>
      </c>
      <c r="V69" s="72">
        <v>120392</v>
      </c>
      <c r="W69" s="72">
        <v>120393</v>
      </c>
      <c r="X69" s="72">
        <v>120394</v>
      </c>
      <c r="Y69" s="72">
        <v>120395</v>
      </c>
      <c r="Z69" s="72">
        <v>120396</v>
      </c>
      <c r="AA69" s="72">
        <v>120397</v>
      </c>
      <c r="AB69" s="72">
        <v>120398</v>
      </c>
      <c r="AC69" s="72">
        <v>515312</v>
      </c>
    </row>
    <row r="70" spans="1:29" ht="32.1" customHeight="1">
      <c r="A70" s="164"/>
      <c r="B70" s="137" t="str">
        <f>VLOOKUP("Stk",Sprachindex!A:Z,Info!$O$6,FALSE)</f>
        <v>STK</v>
      </c>
      <c r="C70" s="146"/>
      <c r="D70" s="136">
        <f t="shared" si="3"/>
        <v>0</v>
      </c>
      <c r="E70" s="264" t="str">
        <f>VLOOKUP("PREFA Gebirgsschneefangstütze",Sprachindex!A:Z,Info!$O$6,FALSE)</f>
        <v>PREFA Gebirgsschneefangstütze</v>
      </c>
      <c r="F70" s="265"/>
      <c r="G70" s="265"/>
      <c r="H70" s="265"/>
      <c r="I70" s="265"/>
      <c r="J70" s="265"/>
      <c r="K70" s="266"/>
      <c r="L70" s="137" t="str">
        <f t="shared" si="4"/>
        <v/>
      </c>
      <c r="M70" s="147"/>
      <c r="O70" s="1"/>
      <c r="P70" s="11"/>
      <c r="Q70" s="11" t="str">
        <f>ROUNDUP(A70/1,0)*1 &amp;" " &amp; VLOOKUP("Stk",Sprachindex!A:Z,Info!$O$6,FALSE)</f>
        <v>0 STK</v>
      </c>
      <c r="T70" s="72">
        <v>120150</v>
      </c>
      <c r="U70" s="72">
        <v>120151</v>
      </c>
      <c r="V70" s="72">
        <v>120152</v>
      </c>
      <c r="W70" s="72">
        <v>120153</v>
      </c>
      <c r="X70" s="72">
        <v>120154</v>
      </c>
      <c r="Y70" s="72">
        <v>120155</v>
      </c>
      <c r="Z70" s="72">
        <v>120156</v>
      </c>
      <c r="AA70" s="72">
        <v>120157</v>
      </c>
      <c r="AB70" s="72">
        <v>120158</v>
      </c>
      <c r="AC70" s="72">
        <v>635801</v>
      </c>
    </row>
    <row r="71" spans="1:29" ht="32.1" customHeight="1">
      <c r="A71" s="164"/>
      <c r="B71" s="137" t="str">
        <f>VLOOKUP("Stk",Sprachindex!A:Z,Info!$O$6,FALSE)</f>
        <v>STK</v>
      </c>
      <c r="C71" s="146"/>
      <c r="D71" s="136">
        <f t="shared" si="3"/>
        <v>0</v>
      </c>
      <c r="E71" s="264" t="str">
        <f>VLOOKUP("PREFA Kaminhut 700 x 700 mm",Sprachindex!A:Z,Info!$O$6,FALSE)</f>
        <v>PREFA Kaminhut 700 x 700 mm</v>
      </c>
      <c r="F71" s="265"/>
      <c r="G71" s="265"/>
      <c r="H71" s="265"/>
      <c r="I71" s="265"/>
      <c r="J71" s="265"/>
      <c r="K71" s="266"/>
      <c r="L71" s="137" t="str">
        <f t="shared" si="4"/>
        <v/>
      </c>
      <c r="M71" s="147"/>
      <c r="O71" s="1"/>
      <c r="P71" s="11"/>
      <c r="Q71" s="11" t="str">
        <f>ROUNDUP(A71/1,0)*1 &amp;" " &amp; VLOOKUP("Stk",Sprachindex!A:Z,Info!$O$6,FALSE)</f>
        <v>0 STK</v>
      </c>
      <c r="T71" s="72">
        <v>110420</v>
      </c>
      <c r="U71" s="72">
        <v>110421</v>
      </c>
      <c r="V71" s="72">
        <v>110422</v>
      </c>
      <c r="W71" s="72">
        <v>110423</v>
      </c>
      <c r="X71" s="72">
        <v>110424</v>
      </c>
      <c r="Y71" s="72">
        <v>110425</v>
      </c>
      <c r="Z71" s="72">
        <v>110426</v>
      </c>
      <c r="AA71" s="72">
        <v>110427</v>
      </c>
      <c r="AB71" s="72">
        <v>110428</v>
      </c>
      <c r="AC71" s="72">
        <v>545001</v>
      </c>
    </row>
    <row r="72" spans="1:29" ht="32.1" customHeight="1">
      <c r="A72" s="164"/>
      <c r="B72" s="137" t="str">
        <f>VLOOKUP("Stk",Sprachindex!A:Z,Info!$O$6,FALSE)</f>
        <v>STK</v>
      </c>
      <c r="C72" s="146"/>
      <c r="D72" s="136">
        <f t="shared" si="3"/>
        <v>0</v>
      </c>
      <c r="E72" s="264" t="str">
        <f>VLOOKUP("PREFA Kaminhut 800 x 800 mm",Sprachindex!A:Z,Info!$O$6,FALSE)</f>
        <v>PREFA Kaminhut 800 x 800 mm</v>
      </c>
      <c r="F72" s="265"/>
      <c r="G72" s="265"/>
      <c r="H72" s="265"/>
      <c r="I72" s="265"/>
      <c r="J72" s="265"/>
      <c r="K72" s="266"/>
      <c r="L72" s="137" t="str">
        <f t="shared" si="4"/>
        <v/>
      </c>
      <c r="M72" s="147"/>
      <c r="O72" s="1"/>
      <c r="P72" s="11"/>
      <c r="Q72" s="11" t="str">
        <f>ROUNDUP(A72/1,0)*1 &amp;" " &amp; VLOOKUP("Stk",Sprachindex!A:Z,Info!$O$6,FALSE)</f>
        <v>0 STK</v>
      </c>
      <c r="T72" s="72">
        <v>110430</v>
      </c>
      <c r="U72" s="72">
        <v>110431</v>
      </c>
      <c r="V72" s="72">
        <v>110432</v>
      </c>
      <c r="W72" s="72">
        <v>110433</v>
      </c>
      <c r="X72" s="72">
        <v>110434</v>
      </c>
      <c r="Y72" s="72">
        <v>110435</v>
      </c>
      <c r="Z72" s="72">
        <v>110436</v>
      </c>
      <c r="AA72" s="72">
        <v>110437</v>
      </c>
      <c r="AB72" s="72">
        <v>110438</v>
      </c>
      <c r="AC72" s="72">
        <v>545012</v>
      </c>
    </row>
    <row r="73" spans="1:29" ht="32.1" customHeight="1">
      <c r="A73" s="164"/>
      <c r="B73" s="137" t="str">
        <f>VLOOKUP("Stk",Sprachindex!A:Z,Info!$O$6,FALSE)</f>
        <v>STK</v>
      </c>
      <c r="C73" s="146"/>
      <c r="D73" s="136">
        <f t="shared" si="3"/>
        <v>0</v>
      </c>
      <c r="E73" s="264" t="str">
        <f>VLOOKUP("PREFA Kaminhut 1.000 x 700 mm",Sprachindex!A:Z,Info!$O$6,FALSE)</f>
        <v>PREFA Kaminhut 1.000 x 700 mm</v>
      </c>
      <c r="F73" s="265"/>
      <c r="G73" s="265"/>
      <c r="H73" s="265"/>
      <c r="I73" s="265"/>
      <c r="J73" s="265"/>
      <c r="K73" s="266"/>
      <c r="L73" s="137" t="str">
        <f t="shared" si="4"/>
        <v/>
      </c>
      <c r="M73" s="147"/>
      <c r="O73" s="1"/>
      <c r="P73" s="11"/>
      <c r="Q73" s="11" t="str">
        <f>ROUNDUP(A73/1,0)*1 &amp;" " &amp; VLOOKUP("Stk",Sprachindex!A:Z,Info!$O$6,FALSE)</f>
        <v>0 STK</v>
      </c>
      <c r="T73" s="72">
        <v>110440</v>
      </c>
      <c r="U73" s="72">
        <v>110441</v>
      </c>
      <c r="V73" s="72">
        <v>110442</v>
      </c>
      <c r="W73" s="72">
        <v>110443</v>
      </c>
      <c r="X73" s="72">
        <v>110444</v>
      </c>
      <c r="Y73" s="72">
        <v>110445</v>
      </c>
      <c r="Z73" s="72">
        <v>110446</v>
      </c>
      <c r="AA73" s="72">
        <v>110447</v>
      </c>
      <c r="AB73" s="72">
        <v>110448</v>
      </c>
      <c r="AC73" s="72">
        <v>545003</v>
      </c>
    </row>
    <row r="74" spans="1:29" ht="32.1" customHeight="1">
      <c r="A74" s="164"/>
      <c r="B74" s="137" t="str">
        <f>VLOOKUP("Stk",Sprachindex!A:Z,Info!$O$6,FALSE)</f>
        <v>STK</v>
      </c>
      <c r="C74" s="146"/>
      <c r="D74" s="136">
        <f t="shared" si="3"/>
        <v>0</v>
      </c>
      <c r="E74" s="264" t="str">
        <f>VLOOKUP("PREFA Kaminhut 1.100 x 800 mm",Sprachindex!A:Z,Info!$O$6,FALSE)</f>
        <v>PREFA Kaminhut 1.100 x 800 mm</v>
      </c>
      <c r="F74" s="265"/>
      <c r="G74" s="265"/>
      <c r="H74" s="265"/>
      <c r="I74" s="265"/>
      <c r="J74" s="265"/>
      <c r="K74" s="266"/>
      <c r="L74" s="137" t="str">
        <f t="shared" si="4"/>
        <v/>
      </c>
      <c r="M74" s="147"/>
      <c r="O74" s="1"/>
      <c r="P74" s="11"/>
      <c r="Q74" s="11" t="str">
        <f>ROUNDUP(A74/1,0)*1 &amp;" " &amp; VLOOKUP("Stk",Sprachindex!A:Z,Info!$O$6,FALSE)</f>
        <v>0 STK</v>
      </c>
      <c r="T74" s="72">
        <v>110450</v>
      </c>
      <c r="U74" s="72">
        <v>110451</v>
      </c>
      <c r="V74" s="72">
        <v>110452</v>
      </c>
      <c r="W74" s="72">
        <v>110453</v>
      </c>
      <c r="X74" s="72">
        <v>110454</v>
      </c>
      <c r="Y74" s="72">
        <v>110455</v>
      </c>
      <c r="Z74" s="72">
        <v>110456</v>
      </c>
      <c r="AA74" s="72">
        <v>110457</v>
      </c>
      <c r="AB74" s="72">
        <v>110458</v>
      </c>
      <c r="AC74" s="72">
        <v>545016</v>
      </c>
    </row>
    <row r="75" spans="1:29" ht="32.1" customHeight="1">
      <c r="A75" s="164"/>
      <c r="B75" s="137" t="str">
        <f>VLOOKUP("Stk",Sprachindex!A:Z,Info!$O$6,FALSE)</f>
        <v>STK</v>
      </c>
      <c r="C75" s="146"/>
      <c r="D75" s="136">
        <f t="shared" si="3"/>
        <v>0</v>
      </c>
      <c r="E75" s="264" t="str">
        <f>VLOOKUP("PREFA Kaminhut 1.500 x 800 mm",Sprachindex!A:Z,Info!$O$6,FALSE)</f>
        <v>PREFA Kaminhut 1.500 x 800 mm</v>
      </c>
      <c r="F75" s="265"/>
      <c r="G75" s="265"/>
      <c r="H75" s="265"/>
      <c r="I75" s="265"/>
      <c r="J75" s="265"/>
      <c r="K75" s="266"/>
      <c r="L75" s="137" t="str">
        <f t="shared" si="4"/>
        <v/>
      </c>
      <c r="M75" s="147"/>
      <c r="O75" s="1"/>
      <c r="P75" s="11"/>
      <c r="Q75" s="11" t="str">
        <f>ROUNDUP(A75/1,0)*1 &amp;" " &amp; VLOOKUP("Stk",Sprachindex!A:Z,Info!$O$6,FALSE)</f>
        <v>0 STK</v>
      </c>
      <c r="T75" s="72">
        <v>110460</v>
      </c>
      <c r="U75" s="72">
        <v>110461</v>
      </c>
      <c r="V75" s="72">
        <v>110462</v>
      </c>
      <c r="W75" s="72">
        <v>110463</v>
      </c>
      <c r="X75" s="72">
        <v>110464</v>
      </c>
      <c r="Y75" s="72">
        <v>110465</v>
      </c>
      <c r="Z75" s="72">
        <v>110466</v>
      </c>
      <c r="AA75" s="72">
        <v>110467</v>
      </c>
      <c r="AB75" s="72">
        <v>110468</v>
      </c>
      <c r="AC75" s="72">
        <v>545005</v>
      </c>
    </row>
    <row r="76" spans="1:29" ht="32.1" customHeight="1">
      <c r="A76" s="164"/>
      <c r="B76" s="137" t="str">
        <f>VLOOKUP("Stk",Sprachindex!A:Z,Info!$O$6,FALSE)</f>
        <v>STK</v>
      </c>
      <c r="C76" s="146"/>
      <c r="D76" s="136">
        <f t="shared" si="3"/>
        <v>0</v>
      </c>
      <c r="E76" s="264" t="str">
        <f>VLOOKUP("Kaminstrebe gebogen",Sprachindex!A:Z,Info!$O$6,FALSE)</f>
        <v>Kaminstrebe gebogen</v>
      </c>
      <c r="F76" s="265"/>
      <c r="G76" s="265"/>
      <c r="H76" s="265"/>
      <c r="I76" s="265"/>
      <c r="J76" s="265"/>
      <c r="K76" s="266"/>
      <c r="L76" s="137" t="str">
        <f t="shared" si="4"/>
        <v/>
      </c>
      <c r="M76" s="147"/>
      <c r="O76" s="1"/>
      <c r="P76" s="11"/>
      <c r="Q76" s="11" t="str">
        <f>ROUNDUP(A76/1,0)*1 &amp;" " &amp; VLOOKUP("Stk",Sprachindex!A:Z,Info!$O$6,FALSE)</f>
        <v>0 STK</v>
      </c>
      <c r="T76" s="72">
        <v>110410</v>
      </c>
      <c r="U76" s="72">
        <v>110411</v>
      </c>
      <c r="V76" s="72">
        <v>110412</v>
      </c>
      <c r="W76" s="72">
        <v>110413</v>
      </c>
      <c r="X76" s="72">
        <v>110414</v>
      </c>
      <c r="Y76" s="72">
        <v>110415</v>
      </c>
      <c r="Z76" s="72">
        <v>110416</v>
      </c>
      <c r="AA76" s="72">
        <v>110417</v>
      </c>
      <c r="AB76" s="72">
        <v>110418</v>
      </c>
      <c r="AC76" s="72">
        <v>537029</v>
      </c>
    </row>
    <row r="77" spans="1:29" ht="32.1" customHeight="1">
      <c r="A77" s="164"/>
      <c r="B77" s="137" t="str">
        <f>VLOOKUP("lfm",Sprachindex!A:Z,Info!$O$6,FALSE)</f>
        <v>lfm</v>
      </c>
      <c r="C77" s="146"/>
      <c r="D77" s="136">
        <f t="shared" si="3"/>
        <v>0</v>
      </c>
      <c r="E77" s="264" t="str">
        <f>VLOOKUP("PREFA Flachprofil (35 x 7 x 3.000 mm)",Sprachindex!A:Z,Info!$O$6,FALSE)</f>
        <v>PREFA Flachprofil (35 x 7 x 3.000 mm)</v>
      </c>
      <c r="F77" s="265"/>
      <c r="G77" s="265"/>
      <c r="H77" s="265"/>
      <c r="I77" s="265"/>
      <c r="J77" s="265"/>
      <c r="K77" s="266"/>
      <c r="L77" s="137" t="str">
        <f t="shared" si="4"/>
        <v/>
      </c>
      <c r="M77" s="147"/>
      <c r="O77" s="1"/>
      <c r="P77" s="11"/>
      <c r="Q77" s="11" t="str">
        <f>ROUNDUP(A77/3,0)*3 &amp;" " &amp; VLOOKUP("lfm",Sprachindex!A:Z,Info!$O$6,FALSE)</f>
        <v>0 lfm</v>
      </c>
      <c r="T77" s="72">
        <v>110400</v>
      </c>
      <c r="U77" s="72">
        <v>110401</v>
      </c>
      <c r="V77" s="72">
        <v>110402</v>
      </c>
      <c r="W77" s="72">
        <v>110403</v>
      </c>
      <c r="X77" s="72">
        <v>110404</v>
      </c>
      <c r="Y77" s="72">
        <v>110405</v>
      </c>
      <c r="Z77" s="72">
        <v>110406</v>
      </c>
      <c r="AA77" s="72">
        <v>110407</v>
      </c>
      <c r="AB77" s="72">
        <v>110408</v>
      </c>
      <c r="AC77" s="100" t="s">
        <v>3551</v>
      </c>
    </row>
    <row r="78" spans="1:29" ht="32.1" customHeight="1">
      <c r="A78" s="164"/>
      <c r="B78" s="137" t="str">
        <f>VLOOKUP("Stk",Sprachindex!A:Z,Info!$O$6,FALSE)</f>
        <v>STK</v>
      </c>
      <c r="C78" s="146"/>
      <c r="D78" s="136">
        <f t="shared" si="3"/>
        <v>0</v>
      </c>
      <c r="E78" s="264" t="str">
        <f>VLOOKUP("PREFA Hauerbuckel, zum Abdecken von Befestigungsmitteln",Sprachindex!A:Z,Info!$O$6,FALSE)</f>
        <v>PREFA Hauerbuckel, zum Abdecken von Befestigungsmitteln</v>
      </c>
      <c r="F78" s="265"/>
      <c r="G78" s="265"/>
      <c r="H78" s="265"/>
      <c r="I78" s="265"/>
      <c r="J78" s="265"/>
      <c r="K78" s="266"/>
      <c r="L78" s="137" t="str">
        <f t="shared" si="4"/>
        <v/>
      </c>
      <c r="M78" s="147"/>
      <c r="O78" s="1"/>
      <c r="P78" s="11"/>
      <c r="Q78" s="11" t="str">
        <f>ROUNDUP(A78/1,0)*1 &amp;" " &amp; VLOOKUP("Stk",Sprachindex!A:Z,Info!$O$6,FALSE)</f>
        <v>0 STK</v>
      </c>
      <c r="T78" s="72">
        <v>112401</v>
      </c>
      <c r="U78" s="72">
        <v>112402</v>
      </c>
      <c r="V78" s="72">
        <v>112403</v>
      </c>
      <c r="W78" s="72">
        <v>112404</v>
      </c>
      <c r="X78" s="72">
        <v>112405</v>
      </c>
      <c r="Y78" s="72">
        <v>112406</v>
      </c>
      <c r="Z78" s="72">
        <v>112407</v>
      </c>
      <c r="AA78" s="72">
        <v>112408</v>
      </c>
      <c r="AB78" s="72">
        <v>112409</v>
      </c>
      <c r="AC78" s="72">
        <v>112420</v>
      </c>
    </row>
    <row r="79" spans="1:29" ht="32.1" customHeight="1">
      <c r="A79" s="164"/>
      <c r="B79" s="137" t="str">
        <f>VLOOKUP("Stk",Sprachindex!A:Z,Info!$O$6,FALSE)</f>
        <v>STK</v>
      </c>
      <c r="C79" s="146"/>
      <c r="D79" s="136">
        <v>420006</v>
      </c>
      <c r="E79" s="264" t="str">
        <f>VLOOKUP("PREFA Silikon Kartusche",Sprachindex!A:Z,Info!$O$6,FALSE)</f>
        <v>PREFA Silikon Kartusche</v>
      </c>
      <c r="F79" s="265"/>
      <c r="G79" s="265"/>
      <c r="H79" s="265"/>
      <c r="I79" s="265"/>
      <c r="J79" s="265"/>
      <c r="K79" s="266"/>
      <c r="L79" s="137" t="str">
        <f t="shared" si="4"/>
        <v/>
      </c>
      <c r="M79" s="147"/>
      <c r="O79" s="1"/>
      <c r="P79" s="57"/>
      <c r="Q79" s="11" t="str">
        <f>ROUNDUP(A79/1,0)*1 &amp;" " &amp; VLOOKUP("Stk",Sprachindex!A:Z,Info!$O$6,FALSE)</f>
        <v>0 STK</v>
      </c>
    </row>
    <row r="80" spans="1:29" ht="32.1" customHeight="1">
      <c r="A80" s="164"/>
      <c r="B80" s="137" t="str">
        <f>VLOOKUP("Set",Sprachindex!A:Z,Info!$O$6,FALSE)</f>
        <v>Set</v>
      </c>
      <c r="C80" s="146"/>
      <c r="D80" s="136">
        <v>420500</v>
      </c>
      <c r="E80" s="264" t="str">
        <f>VLOOKUP("PREFA Spezialkleberset",Sprachindex!A:Z,Info!$O$6,FALSE)</f>
        <v>PREFA Spezialkleberset</v>
      </c>
      <c r="F80" s="265"/>
      <c r="G80" s="265"/>
      <c r="H80" s="265"/>
      <c r="I80" s="265"/>
      <c r="J80" s="265"/>
      <c r="K80" s="266"/>
      <c r="L80" s="137" t="str">
        <f t="shared" si="4"/>
        <v/>
      </c>
      <c r="M80" s="147"/>
      <c r="O80" s="1"/>
      <c r="P80" s="11"/>
      <c r="Q80" s="11" t="str">
        <f>ROUNDUP(A80/1,0)*1 &amp;" " &amp; VLOOKUP("Set",Sprachindex!A:Z,Info!$O$6,FALSE)</f>
        <v>0 Set</v>
      </c>
    </row>
    <row r="81" spans="1:39" ht="32.1" customHeight="1">
      <c r="A81" s="164"/>
      <c r="B81" s="137" t="str">
        <f>VLOOKUP("kg",Sprachindex!A:Z,Info!$O$6,FALSE)</f>
        <v>kg</v>
      </c>
      <c r="C81" s="146"/>
      <c r="D81" s="139">
        <f>IF(I81=Formeln!A116,X81,IF(I81=Formeln!A117,T81,IF(I81=Formeln!A118,U81,IF(I81=Formeln!A119,V81,IF(I81=Formeln!A120,W81,0)))))</f>
        <v>0</v>
      </c>
      <c r="E81" s="267" t="str">
        <f>VLOOKUP("PREFA Lochblech DM 5 mm
ca. 24kg/Rolle (0,7x1.000 mm)",Sprachindex!A:Z,Info!$O$6,FALSE)</f>
        <v>PREFA Lochblech DM 5 mm
ca. 24kg/Rolle (0,7x1.000 mm)</v>
      </c>
      <c r="F81" s="268"/>
      <c r="G81" s="268"/>
      <c r="H81" s="268"/>
      <c r="I81" s="269"/>
      <c r="J81" s="270"/>
      <c r="K81" s="270"/>
      <c r="L81" s="137" t="str">
        <f t="shared" si="4"/>
        <v/>
      </c>
      <c r="M81" s="147"/>
      <c r="O81" s="1"/>
      <c r="P81" s="11"/>
      <c r="Q81" s="11" t="str">
        <f>ROUNDUP(A81/24,0)*1 &amp; " " &amp; R81 &amp; "                         (" &amp;ROUNDUP(A81/24,0)*24&amp;" " &amp; B81 &amp; ")"</f>
        <v>0 Rolle                         (0 kg)</v>
      </c>
      <c r="R81" s="11" t="str">
        <f>IF(A81&gt;21.24, Formeln!A128, Formeln!A127)</f>
        <v>Rolle</v>
      </c>
      <c r="T81" s="72">
        <v>507202</v>
      </c>
      <c r="U81" s="72">
        <v>507203</v>
      </c>
      <c r="V81" s="72">
        <v>507204</v>
      </c>
      <c r="W81" s="72">
        <v>507205</v>
      </c>
      <c r="X81" s="72">
        <v>507206</v>
      </c>
    </row>
    <row r="82" spans="1:39" ht="50.1" customHeight="1">
      <c r="A82" s="164"/>
      <c r="B82" s="137" t="str">
        <f>VLOOKUP("kg",Sprachindex!A:Z,Info!$O$6,FALSE)</f>
        <v>kg</v>
      </c>
      <c r="C82" s="146"/>
      <c r="D82" s="139">
        <f>IF(AND(I82=Formeln!A21,K82=Formeln!A134),T82,IF(AND(I82=Formeln!A21,K82=Formeln!A137),U82,IF(AND(I82=Formeln!A21,K82=Formeln!A139),V82,IF(AND(I82=Formeln!A21,K82=Formeln!A137),AE82,IF(AND(I82=Formeln!A21,K82=Formeln!A133),W82,IF(AND(I82=Formeln!A21,K82=Formeln!A141),X82,IF(AND(I82=Formeln!A21,K82=Formeln!A136),Y82,IF(AND(I82=Formeln!A21,K82=Formeln!A140),Z82,IF(AND(I82=Formeln!A21,K82=Formeln!A138),AA82,IF(AND(I82=Formeln!A21,K82=Formeln!A135),AB82,IF(AND(I82=Formeln!A21,K82=Formeln!A142),AC82,IF(AND(I82=Formeln!A22,K82=Formeln!A134),AD82,IF(AND(I82=Formeln!A22,K82=Formeln!A137),AE82,IF(AND(I82=Formeln!A22,K82=Formeln!A139),AF82,IF(AND(I82=Formeln!A22,K82=Formeln!A137),AE82,IF(AND(I82=Formeln!A22,K82=Formeln!A133),AG82,IF(AND(I82=Formeln!A22,K82=Formeln!A141),AH82,IF(AND(I82=Formeln!A22,K82=Formeln!A136),AI82,IF(AND(I82=Formeln!A22,K82=Formeln!A140),AJ82,IF(AND(I82=Formeln!A22,K82=Formeln!A138),AK82,IF(AND(I82=Formeln!A22,K82=Formeln!A135),AL82,IF(AND(I82=Formeln!A22,K82=Formeln!A142),AM82,0))))))))))))))))))))))</f>
        <v>0</v>
      </c>
      <c r="E82" s="264" t="str">
        <f>VLOOKUP("PREFALZ Ergänzungsband 0,7x1.000 mm (für Zusatzverblechungen)",Sprachindex!A:Z,Info!$O$6,FALSE)</f>
        <v>PREFALZ Ergänzungsband 0,7x1.000 mm (für Zusatzverblechungen)</v>
      </c>
      <c r="F82" s="265"/>
      <c r="G82" s="265"/>
      <c r="H82" s="148" t="str">
        <f>VLOOKUP("Oberfläche:",Sprachindex!A:Z,Info!$O$6,FALSE)</f>
        <v>Oberfläche:</v>
      </c>
      <c r="I82" s="149"/>
      <c r="J82" s="145" t="str">
        <f>VLOOKUP("Farbe:",Sprachindex!A:Z,Info!$O$6,FALSE)</f>
        <v>Farbe:</v>
      </c>
      <c r="K82" s="149"/>
      <c r="L82" s="137" t="str">
        <f t="shared" si="4"/>
        <v/>
      </c>
      <c r="M82" s="147"/>
      <c r="O82" s="1"/>
      <c r="P82" s="11"/>
      <c r="Q82" s="11" t="str">
        <f>ROUNDUP(A82/60,0)*1 &amp; " " &amp; R82 &amp; "                         (" &amp;ROUNDUP(A82/60,0)*60&amp;" " &amp; B82 &amp; ")"</f>
        <v>0 Rolle                         (0 kg)</v>
      </c>
      <c r="R82" s="11" t="str">
        <f>IF(A82&gt;60, Formeln!A128, Formeln!A127)</f>
        <v>Rolle</v>
      </c>
      <c r="T82" s="202" t="s">
        <v>3552</v>
      </c>
      <c r="U82" s="202" t="s">
        <v>3553</v>
      </c>
      <c r="V82" s="202" t="s">
        <v>3554</v>
      </c>
      <c r="W82" s="202" t="s">
        <v>3555</v>
      </c>
      <c r="X82" s="202" t="s">
        <v>3556</v>
      </c>
      <c r="Y82" s="202" t="s">
        <v>3557</v>
      </c>
      <c r="Z82" s="202" t="s">
        <v>3558</v>
      </c>
      <c r="AA82" s="202" t="s">
        <v>3559</v>
      </c>
      <c r="AB82" s="202" t="s">
        <v>3560</v>
      </c>
      <c r="AC82" s="202" t="s">
        <v>3561</v>
      </c>
      <c r="AD82" s="202" t="s">
        <v>3758</v>
      </c>
      <c r="AE82" s="202" t="s">
        <v>3759</v>
      </c>
      <c r="AF82" s="202" t="s">
        <v>3760</v>
      </c>
      <c r="AG82" s="202" t="s">
        <v>3761</v>
      </c>
      <c r="AH82" s="202" t="s">
        <v>3762</v>
      </c>
      <c r="AI82" s="202" t="s">
        <v>3763</v>
      </c>
      <c r="AJ82" s="202" t="s">
        <v>3764</v>
      </c>
      <c r="AK82" s="202" t="s">
        <v>3765</v>
      </c>
      <c r="AL82" s="202" t="s">
        <v>3766</v>
      </c>
      <c r="AM82" s="202" t="s">
        <v>3562</v>
      </c>
    </row>
    <row r="83" spans="1:39" ht="32.1" customHeight="1">
      <c r="A83" s="164"/>
      <c r="B83" s="173"/>
      <c r="C83" s="173"/>
      <c r="D83" s="173"/>
      <c r="E83" s="298"/>
      <c r="F83" s="299"/>
      <c r="G83" s="299"/>
      <c r="H83" s="299"/>
      <c r="I83" s="299"/>
      <c r="J83" s="299"/>
      <c r="K83" s="300"/>
      <c r="L83" s="173"/>
      <c r="M83" s="174"/>
      <c r="O83" s="1"/>
      <c r="P83" s="11"/>
      <c r="Q83" s="11" t="str">
        <f>ROUNDUP(A83/1,0)*1 &amp;" " &amp; VLOOKUP("Stk",Sprachindex!A:Z,Info!$O$6,FALSE)</f>
        <v>0 STK</v>
      </c>
    </row>
    <row r="84" spans="1:39" ht="32.1" customHeight="1">
      <c r="A84" s="164"/>
      <c r="B84" s="173"/>
      <c r="C84" s="173"/>
      <c r="D84" s="173"/>
      <c r="E84" s="298"/>
      <c r="F84" s="299"/>
      <c r="G84" s="299"/>
      <c r="H84" s="299"/>
      <c r="I84" s="299"/>
      <c r="J84" s="299"/>
      <c r="K84" s="300"/>
      <c r="L84" s="173"/>
      <c r="M84" s="174"/>
      <c r="O84" s="1"/>
      <c r="P84" s="11"/>
      <c r="Q84" s="11" t="str">
        <f>ROUNDUP(A84/1,0)*1 &amp;" " &amp; VLOOKUP("Stk",Sprachindex!A:Z,Info!$O$6,FALSE)</f>
        <v>0 STK</v>
      </c>
    </row>
    <row r="85" spans="1:39" ht="32.1" customHeight="1" thickBot="1">
      <c r="A85" s="175"/>
      <c r="B85" s="176"/>
      <c r="C85" s="176"/>
      <c r="D85" s="176"/>
      <c r="E85" s="301"/>
      <c r="F85" s="302"/>
      <c r="G85" s="302"/>
      <c r="H85" s="302"/>
      <c r="I85" s="302"/>
      <c r="J85" s="302"/>
      <c r="K85" s="303"/>
      <c r="L85" s="176"/>
      <c r="M85" s="177"/>
      <c r="O85" s="1"/>
      <c r="P85" s="11"/>
      <c r="Q85" s="11" t="str">
        <f>ROUNDUP(A85/1,0)*1 &amp;" " &amp; VLOOKUP("Stk",Sprachindex!A:Z,Info!$O$6,FALSE)</f>
        <v>0 STK</v>
      </c>
    </row>
    <row r="86" spans="1:39" ht="15" customHeight="1">
      <c r="A86" s="123"/>
      <c r="B86" s="123"/>
      <c r="C86" s="123"/>
      <c r="D86" s="280"/>
      <c r="E86" s="280"/>
      <c r="F86" s="280"/>
      <c r="G86" s="280"/>
      <c r="H86" s="280"/>
      <c r="I86" s="280"/>
      <c r="J86" s="280"/>
      <c r="K86" s="280"/>
      <c r="L86" s="280"/>
      <c r="M86" s="280"/>
    </row>
    <row r="87" spans="1:39" ht="16.899999999999999">
      <c r="A87" s="123"/>
      <c r="B87" s="123"/>
      <c r="C87" s="153" t="str">
        <f>VLOOKUP("Zusatzvermerk:",Sprachindex!A:Z,Info!$O$6,FALSE)</f>
        <v>Zusatzvermerk:</v>
      </c>
      <c r="D87" s="279"/>
      <c r="E87" s="279"/>
      <c r="F87" s="279"/>
      <c r="G87" s="279"/>
      <c r="H87" s="279"/>
      <c r="I87" s="279"/>
      <c r="J87" s="279"/>
      <c r="K87" s="279"/>
      <c r="L87" s="279"/>
      <c r="M87" s="279"/>
    </row>
    <row r="88" spans="1:39" ht="16.899999999999999">
      <c r="A88" s="123"/>
      <c r="B88" s="123"/>
      <c r="C88" s="123"/>
      <c r="D88" s="278"/>
      <c r="E88" s="278"/>
      <c r="F88" s="278"/>
      <c r="G88" s="278"/>
      <c r="H88" s="278"/>
      <c r="I88" s="278"/>
      <c r="J88" s="278"/>
      <c r="K88" s="278"/>
      <c r="L88" s="278"/>
      <c r="M88" s="278"/>
    </row>
    <row r="89" spans="1:39" ht="16.899999999999999">
      <c r="A89" s="123"/>
      <c r="B89" s="123"/>
      <c r="C89" s="123"/>
      <c r="D89" s="279"/>
      <c r="E89" s="279"/>
      <c r="F89" s="279"/>
      <c r="G89" s="279"/>
      <c r="H89" s="279"/>
      <c r="I89" s="279"/>
      <c r="J89" s="279"/>
      <c r="K89" s="279"/>
      <c r="L89" s="279"/>
      <c r="M89" s="279"/>
    </row>
    <row r="90" spans="1:39" ht="16.899999999999999">
      <c r="A90" s="123"/>
      <c r="B90" s="123"/>
      <c r="C90" s="123"/>
      <c r="D90" s="278"/>
      <c r="E90" s="278"/>
      <c r="F90" s="278"/>
      <c r="G90" s="278"/>
      <c r="H90" s="278"/>
      <c r="I90" s="278"/>
      <c r="J90" s="278"/>
      <c r="K90" s="278"/>
      <c r="L90" s="278"/>
      <c r="M90" s="278"/>
    </row>
    <row r="91" spans="1:39" ht="16.899999999999999">
      <c r="A91" s="123"/>
      <c r="B91" s="123"/>
      <c r="C91" s="123"/>
      <c r="D91" s="279"/>
      <c r="E91" s="279"/>
      <c r="F91" s="279"/>
      <c r="G91" s="279"/>
      <c r="H91" s="279"/>
      <c r="I91" s="279"/>
      <c r="J91" s="279"/>
      <c r="K91" s="279"/>
      <c r="L91" s="279"/>
      <c r="M91" s="279"/>
    </row>
    <row r="92" spans="1:39" ht="16.899999999999999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</row>
    <row r="93" spans="1:39" ht="16.899999999999999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</row>
    <row r="94" spans="1:39" ht="16.899999999999999">
      <c r="A94" s="154" t="str">
        <f>VLOOKUP("Anwendungstechnik",Sprachindex!A:Z,Info!$O$6,FALSE)</f>
        <v>Anwendungstechnik</v>
      </c>
      <c r="B94" s="155"/>
      <c r="C94" s="155"/>
      <c r="D94" s="263"/>
      <c r="E94" s="263"/>
      <c r="F94" s="263"/>
      <c r="G94" s="263"/>
      <c r="H94" s="263"/>
      <c r="I94" s="263"/>
      <c r="J94" s="263"/>
      <c r="K94" s="156" t="str">
        <f>VLOOKUP("Stand:",Sprachindex!A:Z,Info!$O$6,FALSE)</f>
        <v>Stand:</v>
      </c>
      <c r="L94" s="281">
        <v>43182</v>
      </c>
      <c r="M94" s="282"/>
      <c r="O94" s="12" t="str">
        <f>VLOOKUP("Vielen Dank für Ihre Mengenermittlung",Sprachindex!A:Z,Info!$O$6,FALSE)</f>
        <v>Vielen Dank für Ihre Mengenermittlung</v>
      </c>
    </row>
    <row r="95" spans="1:39" ht="13.5"/>
    <row r="96" spans="1:39" ht="13.5" hidden="1"/>
    <row r="97" ht="13.5" hidden="1"/>
    <row r="98" ht="13.5" hidden="1"/>
    <row r="99" ht="13.5" hidden="1"/>
    <row r="100" ht="13.5" hidden="1"/>
    <row r="101" ht="13.5" hidden="1"/>
    <row r="102" ht="13.5" hidden="1"/>
    <row r="103" ht="13.5" hidden="1"/>
    <row r="104" ht="14.25" hidden="1" customHeight="1"/>
    <row r="105" ht="14.25" hidden="1" customHeight="1"/>
    <row r="106" ht="14.25" hidden="1" customHeight="1"/>
  </sheetData>
  <sheetProtection algorithmName="SHA-512" hashValue="dBzrIZyCTrlohX2UoqtTnXZvNSik+tL/IWOlvnCfvJMhOl2JsBJNUpoaSxFon2T4tLCI2d0cZLbDC8I3Epa5Tw==" saltValue="0y4KSKVuHMApCXRrjAEn6A==" spinCount="100000" sheet="1" objects="1" scenarios="1" selectLockedCells="1" autoFilter="0"/>
  <protectedRanges>
    <protectedRange password="DEBF" sqref="Q27" name="darf vom Benutzer nicht verändert werden_1"/>
    <protectedRange password="DEBF" sqref="P27" name="darf vom Benutzer nicht verändert werden_1_5_2_1"/>
    <protectedRange password="DEBF" sqref="Q28" name="darf vom Benutzer nicht verändert werden_1_4"/>
    <protectedRange password="DEBF" sqref="P28" name="darf vom Benutzer nicht verändert werden_1_5_2_4"/>
    <protectedRange password="DEBF" sqref="P29:Q29" name="darf vom Benutzer nicht verändert werden_1_5_2_5"/>
    <protectedRange password="DEBF" sqref="P81:Q82" name="darf vom Benutzer nicht verändert werden_1_5"/>
    <protectedRange password="DEBF" sqref="P79" name="darf vom Benutzer nicht verändert werden_1_5_2_6"/>
    <protectedRange password="DEBF" sqref="R81:R82" name="darf vom Benutzer nicht verändert werden_1_12"/>
    <protectedRange password="DEBF" sqref="P30:Q42" name="darf vom Benutzer nicht verändert werden_1_5_3"/>
    <protectedRange password="DEBF" sqref="P43:Q54" name="darf vom Benutzer nicht verändert werden_1_5_4"/>
    <protectedRange password="DEBF" sqref="P55:Q61" name="darf vom Benutzer nicht verändert werden_1_5_5"/>
    <protectedRange password="DEBF" sqref="P62:Q78 Q79" name="darf vom Benutzer nicht verändert werden_1_5_7"/>
    <protectedRange password="DEBF" sqref="P80:Q80" name="darf vom Benutzer nicht verändert werden_1_5_9"/>
    <protectedRange password="DEBF" sqref="P83:Q85" name="darf vom Benutzer nicht verändert werden_1_5_10"/>
  </protectedRanges>
  <autoFilter ref="A22:A85"/>
  <mergeCells count="90">
    <mergeCell ref="D94:J94"/>
    <mergeCell ref="E82:G82"/>
    <mergeCell ref="E83:K83"/>
    <mergeCell ref="E84:K84"/>
    <mergeCell ref="E85:K85"/>
    <mergeCell ref="D90:M91"/>
    <mergeCell ref="D88:M89"/>
    <mergeCell ref="D86:M87"/>
    <mergeCell ref="L94:M94"/>
    <mergeCell ref="E81:H81"/>
    <mergeCell ref="I81:K81"/>
    <mergeCell ref="E70:K70"/>
    <mergeCell ref="E71:K71"/>
    <mergeCell ref="E72:K72"/>
    <mergeCell ref="E73:K73"/>
    <mergeCell ref="E74:K74"/>
    <mergeCell ref="E75:K75"/>
    <mergeCell ref="E76:K76"/>
    <mergeCell ref="E77:K77"/>
    <mergeCell ref="E78:K78"/>
    <mergeCell ref="E79:K79"/>
    <mergeCell ref="E80:K80"/>
    <mergeCell ref="E69:K69"/>
    <mergeCell ref="E58:K58"/>
    <mergeCell ref="E59:K59"/>
    <mergeCell ref="E60:K60"/>
    <mergeCell ref="E61:K61"/>
    <mergeCell ref="E62:K62"/>
    <mergeCell ref="E63:K63"/>
    <mergeCell ref="E64:K64"/>
    <mergeCell ref="E65:K65"/>
    <mergeCell ref="E66:K66"/>
    <mergeCell ref="E67:K67"/>
    <mergeCell ref="E68:K68"/>
    <mergeCell ref="E45:H45"/>
    <mergeCell ref="J45:K45"/>
    <mergeCell ref="E57:K57"/>
    <mergeCell ref="E46:K46"/>
    <mergeCell ref="E47:K47"/>
    <mergeCell ref="E48:K48"/>
    <mergeCell ref="E49:K49"/>
    <mergeCell ref="E50:K50"/>
    <mergeCell ref="E51:K51"/>
    <mergeCell ref="E52:K52"/>
    <mergeCell ref="E53:K53"/>
    <mergeCell ref="E54:K54"/>
    <mergeCell ref="E55:K55"/>
    <mergeCell ref="E56:K56"/>
    <mergeCell ref="E41:G41"/>
    <mergeCell ref="H41:K41"/>
    <mergeCell ref="E42:K42"/>
    <mergeCell ref="E43:H43"/>
    <mergeCell ref="E44:H44"/>
    <mergeCell ref="J44:K44"/>
    <mergeCell ref="E36:K36"/>
    <mergeCell ref="E37:K37"/>
    <mergeCell ref="E38:K38"/>
    <mergeCell ref="E39:K39"/>
    <mergeCell ref="E40:G40"/>
    <mergeCell ref="H40:K40"/>
    <mergeCell ref="E35:K35"/>
    <mergeCell ref="E27:K27"/>
    <mergeCell ref="E28:G28"/>
    <mergeCell ref="H28:K28"/>
    <mergeCell ref="E29:G29"/>
    <mergeCell ref="H29:K29"/>
    <mergeCell ref="E30:K30"/>
    <mergeCell ref="E31:G31"/>
    <mergeCell ref="H31:K31"/>
    <mergeCell ref="E32:K32"/>
    <mergeCell ref="E33:K33"/>
    <mergeCell ref="E34:K34"/>
    <mergeCell ref="E26:K26"/>
    <mergeCell ref="C12:E12"/>
    <mergeCell ref="C13:E13"/>
    <mergeCell ref="C14:E14"/>
    <mergeCell ref="C17:E17"/>
    <mergeCell ref="C18:E18"/>
    <mergeCell ref="C19:E19"/>
    <mergeCell ref="C20:E20"/>
    <mergeCell ref="B22:E22"/>
    <mergeCell ref="E23:K23"/>
    <mergeCell ref="E24:K24"/>
    <mergeCell ref="E25:K25"/>
    <mergeCell ref="K6:M6"/>
    <mergeCell ref="K5:M5"/>
    <mergeCell ref="K4:M4"/>
    <mergeCell ref="C10:E10"/>
    <mergeCell ref="C8:E8"/>
    <mergeCell ref="C9:E9"/>
  </mergeCells>
  <conditionalFormatting sqref="J20:K20">
    <cfRule type="expression" dxfId="1168" priority="362">
      <formula>$N$20=10</formula>
    </cfRule>
  </conditionalFormatting>
  <conditionalFormatting sqref="I20:I21">
    <cfRule type="expression" dxfId="1167" priority="363">
      <formula>$N$20=10</formula>
    </cfRule>
  </conditionalFormatting>
  <conditionalFormatting sqref="C8:E8">
    <cfRule type="cellIs" dxfId="1166" priority="347" operator="equal">
      <formula>""</formula>
    </cfRule>
  </conditionalFormatting>
  <conditionalFormatting sqref="C9:E9">
    <cfRule type="cellIs" dxfId="1165" priority="346" operator="equal">
      <formula>""</formula>
    </cfRule>
  </conditionalFormatting>
  <conditionalFormatting sqref="C10:E10">
    <cfRule type="cellIs" dxfId="1164" priority="345" operator="equal">
      <formula>""</formula>
    </cfRule>
  </conditionalFormatting>
  <conditionalFormatting sqref="C12:E12">
    <cfRule type="cellIs" dxfId="1163" priority="344" operator="equal">
      <formula>""</formula>
    </cfRule>
  </conditionalFormatting>
  <conditionalFormatting sqref="C13:E13">
    <cfRule type="cellIs" dxfId="1162" priority="343" operator="equal">
      <formula>""</formula>
    </cfRule>
  </conditionalFormatting>
  <conditionalFormatting sqref="C14:E14">
    <cfRule type="cellIs" dxfId="1161" priority="342" operator="equal">
      <formula>""</formula>
    </cfRule>
  </conditionalFormatting>
  <conditionalFormatting sqref="C17:E17">
    <cfRule type="cellIs" dxfId="1160" priority="341" operator="equal">
      <formula>""</formula>
    </cfRule>
  </conditionalFormatting>
  <conditionalFormatting sqref="C18:E18">
    <cfRule type="cellIs" dxfId="1159" priority="340" operator="equal">
      <formula>""</formula>
    </cfRule>
  </conditionalFormatting>
  <conditionalFormatting sqref="C19:E19">
    <cfRule type="cellIs" dxfId="1158" priority="339" operator="equal">
      <formula>""</formula>
    </cfRule>
  </conditionalFormatting>
  <conditionalFormatting sqref="C20:E20">
    <cfRule type="cellIs" dxfId="1157" priority="338" operator="equal">
      <formula>""</formula>
    </cfRule>
  </conditionalFormatting>
  <conditionalFormatting sqref="K4">
    <cfRule type="cellIs" dxfId="1156" priority="337" operator="equal">
      <formula>""</formula>
    </cfRule>
  </conditionalFormatting>
  <conditionalFormatting sqref="K5">
    <cfRule type="cellIs" dxfId="1155" priority="336" operator="equal">
      <formula>""</formula>
    </cfRule>
  </conditionalFormatting>
  <conditionalFormatting sqref="K6">
    <cfRule type="cellIs" dxfId="1154" priority="334" operator="equal">
      <formula>""</formula>
    </cfRule>
  </conditionalFormatting>
  <conditionalFormatting sqref="A24">
    <cfRule type="cellIs" dxfId="1153" priority="333" operator="equal">
      <formula>""</formula>
    </cfRule>
  </conditionalFormatting>
  <conditionalFormatting sqref="A25">
    <cfRule type="cellIs" dxfId="1152" priority="332" operator="equal">
      <formula>""</formula>
    </cfRule>
  </conditionalFormatting>
  <conditionalFormatting sqref="A26">
    <cfRule type="cellIs" dxfId="1151" priority="331" operator="equal">
      <formula>""</formula>
    </cfRule>
  </conditionalFormatting>
  <conditionalFormatting sqref="A27">
    <cfRule type="cellIs" dxfId="1150" priority="330" operator="equal">
      <formula>""</formula>
    </cfRule>
  </conditionalFormatting>
  <conditionalFormatting sqref="A28">
    <cfRule type="cellIs" dxfId="1149" priority="329" operator="equal">
      <formula>""</formula>
    </cfRule>
  </conditionalFormatting>
  <conditionalFormatting sqref="A29">
    <cfRule type="cellIs" dxfId="1148" priority="328" operator="equal">
      <formula>""</formula>
    </cfRule>
  </conditionalFormatting>
  <conditionalFormatting sqref="A30">
    <cfRule type="cellIs" dxfId="1147" priority="327" operator="equal">
      <formula>""</formula>
    </cfRule>
  </conditionalFormatting>
  <conditionalFormatting sqref="A31">
    <cfRule type="cellIs" dxfId="1146" priority="326" operator="equal">
      <formula>""</formula>
    </cfRule>
  </conditionalFormatting>
  <conditionalFormatting sqref="A32">
    <cfRule type="cellIs" dxfId="1145" priority="325" operator="equal">
      <formula>""</formula>
    </cfRule>
  </conditionalFormatting>
  <conditionalFormatting sqref="A33">
    <cfRule type="cellIs" dxfId="1144" priority="324" operator="equal">
      <formula>""</formula>
    </cfRule>
  </conditionalFormatting>
  <conditionalFormatting sqref="A34">
    <cfRule type="cellIs" dxfId="1143" priority="323" operator="equal">
      <formula>""</formula>
    </cfRule>
  </conditionalFormatting>
  <conditionalFormatting sqref="A35">
    <cfRule type="cellIs" dxfId="1142" priority="322" operator="equal">
      <formula>""</formula>
    </cfRule>
  </conditionalFormatting>
  <conditionalFormatting sqref="A36">
    <cfRule type="cellIs" dxfId="1141" priority="321" operator="equal">
      <formula>""</formula>
    </cfRule>
  </conditionalFormatting>
  <conditionalFormatting sqref="A37">
    <cfRule type="cellIs" dxfId="1140" priority="320" operator="equal">
      <formula>""</formula>
    </cfRule>
  </conditionalFormatting>
  <conditionalFormatting sqref="A38">
    <cfRule type="cellIs" dxfId="1139" priority="319" operator="equal">
      <formula>""</formula>
    </cfRule>
  </conditionalFormatting>
  <conditionalFormatting sqref="A39">
    <cfRule type="cellIs" dxfId="1138" priority="318" operator="equal">
      <formula>""</formula>
    </cfRule>
  </conditionalFormatting>
  <conditionalFormatting sqref="A40">
    <cfRule type="cellIs" dxfId="1137" priority="317" operator="equal">
      <formula>""</formula>
    </cfRule>
  </conditionalFormatting>
  <conditionalFormatting sqref="A41">
    <cfRule type="cellIs" dxfId="1136" priority="316" operator="equal">
      <formula>""</formula>
    </cfRule>
  </conditionalFormatting>
  <conditionalFormatting sqref="A42">
    <cfRule type="cellIs" dxfId="1135" priority="315" operator="equal">
      <formula>""</formula>
    </cfRule>
  </conditionalFormatting>
  <conditionalFormatting sqref="A43">
    <cfRule type="cellIs" dxfId="1134" priority="314" operator="equal">
      <formula>""</formula>
    </cfRule>
  </conditionalFormatting>
  <conditionalFormatting sqref="A44">
    <cfRule type="cellIs" dxfId="1133" priority="312" operator="equal">
      <formula>""</formula>
    </cfRule>
  </conditionalFormatting>
  <conditionalFormatting sqref="A45">
    <cfRule type="cellIs" dxfId="1132" priority="310" operator="equal">
      <formula>""</formula>
    </cfRule>
  </conditionalFormatting>
  <conditionalFormatting sqref="A46">
    <cfRule type="cellIs" dxfId="1131" priority="309" operator="equal">
      <formula>""</formula>
    </cfRule>
  </conditionalFormatting>
  <conditionalFormatting sqref="A47">
    <cfRule type="cellIs" dxfId="1130" priority="308" operator="equal">
      <formula>""</formula>
    </cfRule>
  </conditionalFormatting>
  <conditionalFormatting sqref="A48">
    <cfRule type="cellIs" dxfId="1129" priority="307" operator="equal">
      <formula>""</formula>
    </cfRule>
  </conditionalFormatting>
  <conditionalFormatting sqref="A49">
    <cfRule type="cellIs" dxfId="1128" priority="306" operator="equal">
      <formula>""</formula>
    </cfRule>
  </conditionalFormatting>
  <conditionalFormatting sqref="A50">
    <cfRule type="cellIs" dxfId="1127" priority="305" operator="equal">
      <formula>""</formula>
    </cfRule>
  </conditionalFormatting>
  <conditionalFormatting sqref="A51">
    <cfRule type="cellIs" dxfId="1126" priority="304" operator="equal">
      <formula>""</formula>
    </cfRule>
  </conditionalFormatting>
  <conditionalFormatting sqref="A52">
    <cfRule type="cellIs" dxfId="1125" priority="303" operator="equal">
      <formula>""</formula>
    </cfRule>
  </conditionalFormatting>
  <conditionalFormatting sqref="A53">
    <cfRule type="cellIs" dxfId="1124" priority="302" operator="equal">
      <formula>""</formula>
    </cfRule>
  </conditionalFormatting>
  <conditionalFormatting sqref="A55">
    <cfRule type="cellIs" dxfId="1123" priority="301" operator="equal">
      <formula>""</formula>
    </cfRule>
  </conditionalFormatting>
  <conditionalFormatting sqref="A54">
    <cfRule type="cellIs" dxfId="1122" priority="300" operator="equal">
      <formula>""</formula>
    </cfRule>
  </conditionalFormatting>
  <conditionalFormatting sqref="A56">
    <cfRule type="cellIs" dxfId="1121" priority="299" operator="equal">
      <formula>""</formula>
    </cfRule>
  </conditionalFormatting>
  <conditionalFormatting sqref="A57">
    <cfRule type="cellIs" dxfId="1120" priority="298" operator="equal">
      <formula>""</formula>
    </cfRule>
  </conditionalFormatting>
  <conditionalFormatting sqref="A58">
    <cfRule type="cellIs" dxfId="1119" priority="297" operator="equal">
      <formula>""</formula>
    </cfRule>
  </conditionalFormatting>
  <conditionalFormatting sqref="A59">
    <cfRule type="cellIs" dxfId="1118" priority="296" operator="equal">
      <formula>""</formula>
    </cfRule>
  </conditionalFormatting>
  <conditionalFormatting sqref="A60">
    <cfRule type="cellIs" dxfId="1117" priority="295" operator="equal">
      <formula>""</formula>
    </cfRule>
  </conditionalFormatting>
  <conditionalFormatting sqref="A61">
    <cfRule type="cellIs" dxfId="1116" priority="294" operator="equal">
      <formula>""</formula>
    </cfRule>
  </conditionalFormatting>
  <conditionalFormatting sqref="A62">
    <cfRule type="cellIs" dxfId="1115" priority="293" operator="equal">
      <formula>""</formula>
    </cfRule>
  </conditionalFormatting>
  <conditionalFormatting sqref="A63">
    <cfRule type="cellIs" dxfId="1114" priority="292" operator="equal">
      <formula>""</formula>
    </cfRule>
  </conditionalFormatting>
  <conditionalFormatting sqref="A64">
    <cfRule type="cellIs" dxfId="1113" priority="291" operator="equal">
      <formula>""</formula>
    </cfRule>
  </conditionalFormatting>
  <conditionalFormatting sqref="A65">
    <cfRule type="cellIs" dxfId="1112" priority="290" operator="equal">
      <formula>""</formula>
    </cfRule>
  </conditionalFormatting>
  <conditionalFormatting sqref="A66">
    <cfRule type="cellIs" dxfId="1111" priority="289" operator="equal">
      <formula>""</formula>
    </cfRule>
  </conditionalFormatting>
  <conditionalFormatting sqref="A68">
    <cfRule type="cellIs" dxfId="1110" priority="288" operator="equal">
      <formula>""</formula>
    </cfRule>
  </conditionalFormatting>
  <conditionalFormatting sqref="A67">
    <cfRule type="cellIs" dxfId="1109" priority="287" operator="equal">
      <formula>""</formula>
    </cfRule>
  </conditionalFormatting>
  <conditionalFormatting sqref="A69">
    <cfRule type="cellIs" dxfId="1108" priority="286" operator="equal">
      <formula>""</formula>
    </cfRule>
  </conditionalFormatting>
  <conditionalFormatting sqref="A71">
    <cfRule type="cellIs" dxfId="1107" priority="285" operator="equal">
      <formula>""</formula>
    </cfRule>
  </conditionalFormatting>
  <conditionalFormatting sqref="A70">
    <cfRule type="cellIs" dxfId="1106" priority="284" operator="equal">
      <formula>""</formula>
    </cfRule>
  </conditionalFormatting>
  <conditionalFormatting sqref="A72">
    <cfRule type="cellIs" dxfId="1105" priority="283" operator="equal">
      <formula>""</formula>
    </cfRule>
  </conditionalFormatting>
  <conditionalFormatting sqref="A73">
    <cfRule type="cellIs" dxfId="1104" priority="282" operator="equal">
      <formula>""</formula>
    </cfRule>
  </conditionalFormatting>
  <conditionalFormatting sqref="A74">
    <cfRule type="cellIs" dxfId="1103" priority="281" operator="equal">
      <formula>""</formula>
    </cfRule>
  </conditionalFormatting>
  <conditionalFormatting sqref="A75">
    <cfRule type="cellIs" dxfId="1102" priority="280" operator="equal">
      <formula>""</formula>
    </cfRule>
  </conditionalFormatting>
  <conditionalFormatting sqref="A76">
    <cfRule type="cellIs" dxfId="1101" priority="279" operator="equal">
      <formula>""</formula>
    </cfRule>
  </conditionalFormatting>
  <conditionalFormatting sqref="A77">
    <cfRule type="cellIs" dxfId="1100" priority="278" operator="equal">
      <formula>""</formula>
    </cfRule>
  </conditionalFormatting>
  <conditionalFormatting sqref="A78">
    <cfRule type="cellIs" dxfId="1099" priority="277" operator="equal">
      <formula>""</formula>
    </cfRule>
  </conditionalFormatting>
  <conditionalFormatting sqref="A79">
    <cfRule type="cellIs" dxfId="1098" priority="276" operator="equal">
      <formula>""</formula>
    </cfRule>
  </conditionalFormatting>
  <conditionalFormatting sqref="A80">
    <cfRule type="cellIs" dxfId="1097" priority="275" operator="equal">
      <formula>""</formula>
    </cfRule>
  </conditionalFormatting>
  <conditionalFormatting sqref="A81">
    <cfRule type="cellIs" dxfId="1096" priority="274" operator="equal">
      <formula>""</formula>
    </cfRule>
  </conditionalFormatting>
  <conditionalFormatting sqref="A82">
    <cfRule type="cellIs" dxfId="1095" priority="273" operator="equal">
      <formula>""</formula>
    </cfRule>
  </conditionalFormatting>
  <conditionalFormatting sqref="A83">
    <cfRule type="cellIs" dxfId="1094" priority="271" operator="equal">
      <formula>""</formula>
    </cfRule>
  </conditionalFormatting>
  <conditionalFormatting sqref="A84">
    <cfRule type="cellIs" dxfId="1093" priority="270" operator="equal">
      <formula>""</formula>
    </cfRule>
  </conditionalFormatting>
  <conditionalFormatting sqref="A85">
    <cfRule type="cellIs" dxfId="1092" priority="269" operator="equal">
      <formula>""</formula>
    </cfRule>
  </conditionalFormatting>
  <conditionalFormatting sqref="B84">
    <cfRule type="cellIs" dxfId="1091" priority="268" operator="equal">
      <formula>""</formula>
    </cfRule>
  </conditionalFormatting>
  <conditionalFormatting sqref="B83">
    <cfRule type="cellIs" dxfId="1090" priority="267" operator="equal">
      <formula>""</formula>
    </cfRule>
  </conditionalFormatting>
  <conditionalFormatting sqref="B85">
    <cfRule type="cellIs" dxfId="1089" priority="266" operator="equal">
      <formula>""</formula>
    </cfRule>
  </conditionalFormatting>
  <conditionalFormatting sqref="C85">
    <cfRule type="cellIs" dxfId="1088" priority="265" operator="equal">
      <formula>""</formula>
    </cfRule>
  </conditionalFormatting>
  <conditionalFormatting sqref="C84">
    <cfRule type="cellIs" dxfId="1087" priority="264" operator="equal">
      <formula>""</formula>
    </cfRule>
  </conditionalFormatting>
  <conditionalFormatting sqref="C83">
    <cfRule type="cellIs" dxfId="1086" priority="263" operator="equal">
      <formula>""</formula>
    </cfRule>
  </conditionalFormatting>
  <conditionalFormatting sqref="E83">
    <cfRule type="cellIs" dxfId="1085" priority="262" operator="equal">
      <formula>""</formula>
    </cfRule>
  </conditionalFormatting>
  <conditionalFormatting sqref="E84">
    <cfRule type="cellIs" dxfId="1084" priority="261" operator="equal">
      <formula>""</formula>
    </cfRule>
  </conditionalFormatting>
  <conditionalFormatting sqref="E85">
    <cfRule type="cellIs" dxfId="1083" priority="260" operator="equal">
      <formula>""</formula>
    </cfRule>
  </conditionalFormatting>
  <conditionalFormatting sqref="L85">
    <cfRule type="cellIs" dxfId="1082" priority="259" operator="equal">
      <formula>""</formula>
    </cfRule>
  </conditionalFormatting>
  <conditionalFormatting sqref="L84">
    <cfRule type="cellIs" dxfId="1081" priority="258" operator="equal">
      <formula>""</formula>
    </cfRule>
  </conditionalFormatting>
  <conditionalFormatting sqref="L83">
    <cfRule type="cellIs" dxfId="1080" priority="257" operator="equal">
      <formula>""</formula>
    </cfRule>
  </conditionalFormatting>
  <conditionalFormatting sqref="M83">
    <cfRule type="cellIs" dxfId="1079" priority="256" operator="equal">
      <formula>""</formula>
    </cfRule>
  </conditionalFormatting>
  <conditionalFormatting sqref="M84">
    <cfRule type="cellIs" dxfId="1078" priority="255" operator="equal">
      <formula>""</formula>
    </cfRule>
  </conditionalFormatting>
  <conditionalFormatting sqref="M85">
    <cfRule type="cellIs" dxfId="1077" priority="254" operator="equal">
      <formula>""</formula>
    </cfRule>
  </conditionalFormatting>
  <conditionalFormatting sqref="D85">
    <cfRule type="cellIs" dxfId="1076" priority="216" operator="equal">
      <formula>""</formula>
    </cfRule>
  </conditionalFormatting>
  <conditionalFormatting sqref="D84">
    <cfRule type="cellIs" dxfId="1075" priority="215" operator="equal">
      <formula>""</formula>
    </cfRule>
  </conditionalFormatting>
  <conditionalFormatting sqref="D83">
    <cfRule type="cellIs" dxfId="1074" priority="214" operator="equal">
      <formula>""</formula>
    </cfRule>
  </conditionalFormatting>
  <conditionalFormatting sqref="Y30:AC30 T30:W30">
    <cfRule type="duplicateValues" dxfId="1073" priority="213"/>
  </conditionalFormatting>
  <conditionalFormatting sqref="T25:AB25">
    <cfRule type="duplicateValues" dxfId="1072" priority="208"/>
  </conditionalFormatting>
  <conditionalFormatting sqref="AC25">
    <cfRule type="duplicateValues" dxfId="1071" priority="207"/>
  </conditionalFormatting>
  <conditionalFormatting sqref="AM25">
    <cfRule type="duplicateValues" dxfId="1070" priority="206"/>
  </conditionalFormatting>
  <conditionalFormatting sqref="AD25:AL25">
    <cfRule type="duplicateValues" dxfId="1069" priority="205"/>
  </conditionalFormatting>
  <conditionalFormatting sqref="T24:AB24">
    <cfRule type="duplicateValues" dxfId="1068" priority="204"/>
  </conditionalFormatting>
  <conditionalFormatting sqref="AC24">
    <cfRule type="duplicateValues" dxfId="1067" priority="203"/>
  </conditionalFormatting>
  <conditionalFormatting sqref="AM24">
    <cfRule type="duplicateValues" dxfId="1066" priority="202"/>
  </conditionalFormatting>
  <conditionalFormatting sqref="AD24:AL24">
    <cfRule type="duplicateValues" dxfId="1065" priority="1118"/>
  </conditionalFormatting>
  <conditionalFormatting sqref="AC26">
    <cfRule type="duplicateValues" dxfId="1064" priority="200"/>
  </conditionalFormatting>
  <conditionalFormatting sqref="AM26">
    <cfRule type="duplicateValues" dxfId="1063" priority="199"/>
  </conditionalFormatting>
  <conditionalFormatting sqref="T26:AB26">
    <cfRule type="duplicateValues" dxfId="1062" priority="198"/>
  </conditionalFormatting>
  <conditionalFormatting sqref="AD26:AL26">
    <cfRule type="duplicateValues" dxfId="1061" priority="197"/>
  </conditionalFormatting>
  <conditionalFormatting sqref="T40">
    <cfRule type="duplicateValues" dxfId="1060" priority="196"/>
  </conditionalFormatting>
  <conditionalFormatting sqref="Y40">
    <cfRule type="duplicateValues" dxfId="1059" priority="195"/>
  </conditionalFormatting>
  <conditionalFormatting sqref="V40">
    <cfRule type="duplicateValues" dxfId="1058" priority="194"/>
  </conditionalFormatting>
  <conditionalFormatting sqref="U40">
    <cfRule type="duplicateValues" dxfId="1057" priority="193"/>
  </conditionalFormatting>
  <conditionalFormatting sqref="AA40">
    <cfRule type="duplicateValues" dxfId="1056" priority="192"/>
  </conditionalFormatting>
  <conditionalFormatting sqref="Z40">
    <cfRule type="duplicateValues" dxfId="1055" priority="191"/>
  </conditionalFormatting>
  <conditionalFormatting sqref="W40">
    <cfRule type="duplicateValues" dxfId="1054" priority="190"/>
  </conditionalFormatting>
  <conditionalFormatting sqref="AC40">
    <cfRule type="duplicateValues" dxfId="1053" priority="189"/>
  </conditionalFormatting>
  <conditionalFormatting sqref="T33:AB33 AD33:AL33">
    <cfRule type="duplicateValues" dxfId="1052" priority="182"/>
  </conditionalFormatting>
  <conditionalFormatting sqref="AC33">
    <cfRule type="duplicateValues" dxfId="1051" priority="181"/>
  </conditionalFormatting>
  <conditionalFormatting sqref="AD34:AL34 T34:AB34">
    <cfRule type="duplicateValues" dxfId="1050" priority="183"/>
  </conditionalFormatting>
  <conditionalFormatting sqref="T35:AL35">
    <cfRule type="duplicateValues" dxfId="1049" priority="184"/>
  </conditionalFormatting>
  <conditionalFormatting sqref="T36:AM36">
    <cfRule type="duplicateValues" dxfId="1048" priority="185"/>
  </conditionalFormatting>
  <conditionalFormatting sqref="AD38:AM38">
    <cfRule type="duplicateValues" dxfId="1047" priority="177"/>
  </conditionalFormatting>
  <conditionalFormatting sqref="T38:AC38">
    <cfRule type="duplicateValues" dxfId="1046" priority="187"/>
  </conditionalFormatting>
  <conditionalFormatting sqref="AD39:AL39">
    <cfRule type="duplicateValues" dxfId="1045" priority="176"/>
  </conditionalFormatting>
  <conditionalFormatting sqref="AC39">
    <cfRule type="duplicateValues" dxfId="1044" priority="175"/>
  </conditionalFormatting>
  <conditionalFormatting sqref="AM39">
    <cfRule type="duplicateValues" dxfId="1043" priority="174"/>
  </conditionalFormatting>
  <conditionalFormatting sqref="T39:AB39">
    <cfRule type="duplicateValues" dxfId="1042" priority="188"/>
  </conditionalFormatting>
  <conditionalFormatting sqref="T41">
    <cfRule type="duplicateValues" dxfId="1041" priority="173"/>
  </conditionalFormatting>
  <conditionalFormatting sqref="W41">
    <cfRule type="duplicateValues" dxfId="1040" priority="172"/>
  </conditionalFormatting>
  <conditionalFormatting sqref="V41">
    <cfRule type="duplicateValues" dxfId="1039" priority="171"/>
  </conditionalFormatting>
  <conditionalFormatting sqref="U41">
    <cfRule type="duplicateValues" dxfId="1038" priority="170"/>
  </conditionalFormatting>
  <conditionalFormatting sqref="Y41">
    <cfRule type="duplicateValues" dxfId="1037" priority="169"/>
  </conditionalFormatting>
  <conditionalFormatting sqref="AA41">
    <cfRule type="duplicateValues" dxfId="1036" priority="168"/>
  </conditionalFormatting>
  <conditionalFormatting sqref="Z41">
    <cfRule type="duplicateValues" dxfId="1035" priority="167"/>
  </conditionalFormatting>
  <conditionalFormatting sqref="AC41">
    <cfRule type="duplicateValues" dxfId="1034" priority="166"/>
  </conditionalFormatting>
  <conditionalFormatting sqref="T42">
    <cfRule type="duplicateValues" dxfId="1033" priority="165"/>
  </conditionalFormatting>
  <conditionalFormatting sqref="U42">
    <cfRule type="duplicateValues" dxfId="1032" priority="164"/>
  </conditionalFormatting>
  <conditionalFormatting sqref="V42">
    <cfRule type="duplicateValues" dxfId="1031" priority="163"/>
  </conditionalFormatting>
  <conditionalFormatting sqref="W42">
    <cfRule type="duplicateValues" dxfId="1030" priority="162"/>
  </conditionalFormatting>
  <conditionalFormatting sqref="X42">
    <cfRule type="duplicateValues" dxfId="1029" priority="161"/>
  </conditionalFormatting>
  <conditionalFormatting sqref="Y42">
    <cfRule type="duplicateValues" dxfId="1028" priority="160"/>
  </conditionalFormatting>
  <conditionalFormatting sqref="Z42">
    <cfRule type="duplicateValues" dxfId="1027" priority="159"/>
  </conditionalFormatting>
  <conditionalFormatting sqref="AA42">
    <cfRule type="duplicateValues" dxfId="1026" priority="158"/>
  </conditionalFormatting>
  <conditionalFormatting sqref="AB42">
    <cfRule type="duplicateValues" dxfId="1025" priority="157"/>
  </conditionalFormatting>
  <conditionalFormatting sqref="AC42">
    <cfRule type="duplicateValues" dxfId="1024" priority="156"/>
  </conditionalFormatting>
  <conditionalFormatting sqref="D43">
    <cfRule type="duplicateValues" dxfId="1023" priority="155"/>
  </conditionalFormatting>
  <conditionalFormatting sqref="AD44:AL44">
    <cfRule type="duplicateValues" dxfId="1022" priority="151"/>
  </conditionalFormatting>
  <conditionalFormatting sqref="T44:AB44">
    <cfRule type="duplicateValues" dxfId="1021" priority="152"/>
  </conditionalFormatting>
  <conditionalFormatting sqref="AX44:BF44">
    <cfRule type="duplicateValues" dxfId="1020" priority="149"/>
  </conditionalFormatting>
  <conditionalFormatting sqref="AN44:AV44">
    <cfRule type="duplicateValues" dxfId="1019" priority="150"/>
  </conditionalFormatting>
  <conditionalFormatting sqref="BR44:BZ44">
    <cfRule type="duplicateValues" dxfId="1018" priority="147"/>
  </conditionalFormatting>
  <conditionalFormatting sqref="BI44:BP44">
    <cfRule type="duplicateValues" dxfId="1017" priority="148"/>
  </conditionalFormatting>
  <conditionalFormatting sqref="CC44:CJ44">
    <cfRule type="duplicateValues" dxfId="1016" priority="153"/>
  </conditionalFormatting>
  <conditionalFormatting sqref="CL44:CT44">
    <cfRule type="duplicateValues" dxfId="1015" priority="154"/>
  </conditionalFormatting>
  <conditionalFormatting sqref="CW44:DD44">
    <cfRule type="duplicateValues" dxfId="1014" priority="145"/>
  </conditionalFormatting>
  <conditionalFormatting sqref="DF44:DN44">
    <cfRule type="duplicateValues" dxfId="1013" priority="146"/>
  </conditionalFormatting>
  <conditionalFormatting sqref="DQ44:DX44">
    <cfRule type="duplicateValues" dxfId="1012" priority="144"/>
  </conditionalFormatting>
  <conditionalFormatting sqref="DZ44:EH44">
    <cfRule type="duplicateValues" dxfId="1011" priority="143"/>
  </conditionalFormatting>
  <conditionalFormatting sqref="EK44:ER44">
    <cfRule type="duplicateValues" dxfId="1010" priority="142"/>
  </conditionalFormatting>
  <conditionalFormatting sqref="ET44:FB44">
    <cfRule type="duplicateValues" dxfId="1009" priority="141"/>
  </conditionalFormatting>
  <conditionalFormatting sqref="FE44:FL44">
    <cfRule type="duplicateValues" dxfId="1008" priority="140"/>
  </conditionalFormatting>
  <conditionalFormatting sqref="FN44:FV44">
    <cfRule type="duplicateValues" dxfId="1007" priority="139"/>
  </conditionalFormatting>
  <conditionalFormatting sqref="FY44:GF44">
    <cfRule type="duplicateValues" dxfId="1006" priority="138"/>
  </conditionalFormatting>
  <conditionalFormatting sqref="GH44:GP44">
    <cfRule type="duplicateValues" dxfId="1005" priority="137"/>
  </conditionalFormatting>
  <conditionalFormatting sqref="GS44:GZ44">
    <cfRule type="duplicateValues" dxfId="1004" priority="136"/>
  </conditionalFormatting>
  <conditionalFormatting sqref="HB44:HJ44">
    <cfRule type="duplicateValues" dxfId="1003" priority="135"/>
  </conditionalFormatting>
  <conditionalFormatting sqref="HM44:HT44">
    <cfRule type="duplicateValues" dxfId="1002" priority="134"/>
  </conditionalFormatting>
  <conditionalFormatting sqref="HV44:ID44">
    <cfRule type="duplicateValues" dxfId="1001" priority="133"/>
  </conditionalFormatting>
  <conditionalFormatting sqref="IG44:IN44">
    <cfRule type="duplicateValues" dxfId="1000" priority="132"/>
  </conditionalFormatting>
  <conditionalFormatting sqref="IP44:IX44">
    <cfRule type="duplicateValues" dxfId="999" priority="131"/>
  </conditionalFormatting>
  <conditionalFormatting sqref="JA44:JH44">
    <cfRule type="duplicateValues" dxfId="998" priority="130"/>
  </conditionalFormatting>
  <conditionalFormatting sqref="JJ44:JR44">
    <cfRule type="duplicateValues" dxfId="997" priority="129"/>
  </conditionalFormatting>
  <conditionalFormatting sqref="JU44:KB44">
    <cfRule type="duplicateValues" dxfId="996" priority="128"/>
  </conditionalFormatting>
  <conditionalFormatting sqref="KD44:KL44">
    <cfRule type="duplicateValues" dxfId="995" priority="127"/>
  </conditionalFormatting>
  <conditionalFormatting sqref="KX44:LF44">
    <cfRule type="duplicateValues" dxfId="994" priority="126"/>
  </conditionalFormatting>
  <conditionalFormatting sqref="KO44:KV44">
    <cfRule type="duplicateValues" dxfId="993" priority="125"/>
  </conditionalFormatting>
  <conditionalFormatting sqref="LI44:LP44">
    <cfRule type="duplicateValues" dxfId="992" priority="124"/>
  </conditionalFormatting>
  <conditionalFormatting sqref="LR44:LZ44">
    <cfRule type="duplicateValues" dxfId="991" priority="123"/>
  </conditionalFormatting>
  <conditionalFormatting sqref="MC44:MJ44">
    <cfRule type="duplicateValues" dxfId="990" priority="122"/>
  </conditionalFormatting>
  <conditionalFormatting sqref="ML44:MT44">
    <cfRule type="duplicateValues" dxfId="989" priority="121"/>
  </conditionalFormatting>
  <conditionalFormatting sqref="MW44:ND44">
    <cfRule type="duplicateValues" dxfId="988" priority="120"/>
  </conditionalFormatting>
  <conditionalFormatting sqref="NF44:NN44">
    <cfRule type="duplicateValues" dxfId="987" priority="119"/>
  </conditionalFormatting>
  <conditionalFormatting sqref="NQ44:NX44">
    <cfRule type="duplicateValues" dxfId="986" priority="118"/>
  </conditionalFormatting>
  <conditionalFormatting sqref="NZ44:OH44">
    <cfRule type="duplicateValues" dxfId="985" priority="117"/>
  </conditionalFormatting>
  <conditionalFormatting sqref="OK44:OR44">
    <cfRule type="duplicateValues" dxfId="984" priority="116"/>
  </conditionalFormatting>
  <conditionalFormatting sqref="OT44:PB44">
    <cfRule type="duplicateValues" dxfId="983" priority="115"/>
  </conditionalFormatting>
  <conditionalFormatting sqref="PE44:PL44">
    <cfRule type="duplicateValues" dxfId="982" priority="114"/>
  </conditionalFormatting>
  <conditionalFormatting sqref="PN44:PV44">
    <cfRule type="duplicateValues" dxfId="981" priority="113"/>
  </conditionalFormatting>
  <conditionalFormatting sqref="AD45:AL45 T45:AB45">
    <cfRule type="duplicateValues" dxfId="980" priority="112"/>
  </conditionalFormatting>
  <conditionalFormatting sqref="BH44">
    <cfRule type="duplicateValues" dxfId="979" priority="111"/>
  </conditionalFormatting>
  <conditionalFormatting sqref="CB44">
    <cfRule type="duplicateValues" dxfId="978" priority="110"/>
  </conditionalFormatting>
  <conditionalFormatting sqref="CV44">
    <cfRule type="duplicateValues" dxfId="977" priority="109"/>
  </conditionalFormatting>
  <conditionalFormatting sqref="DP44">
    <cfRule type="duplicateValues" dxfId="976" priority="108"/>
  </conditionalFormatting>
  <conditionalFormatting sqref="EJ44">
    <cfRule type="duplicateValues" dxfId="975" priority="107"/>
  </conditionalFormatting>
  <conditionalFormatting sqref="FD44">
    <cfRule type="duplicateValues" dxfId="974" priority="106"/>
  </conditionalFormatting>
  <conditionalFormatting sqref="FX44">
    <cfRule type="duplicateValues" dxfId="973" priority="105"/>
  </conditionalFormatting>
  <conditionalFormatting sqref="GR44">
    <cfRule type="duplicateValues" dxfId="972" priority="104"/>
  </conditionalFormatting>
  <conditionalFormatting sqref="HL44">
    <cfRule type="duplicateValues" dxfId="971" priority="103"/>
  </conditionalFormatting>
  <conditionalFormatting sqref="IF44">
    <cfRule type="duplicateValues" dxfId="970" priority="102"/>
  </conditionalFormatting>
  <conditionalFormatting sqref="IZ44">
    <cfRule type="duplicateValues" dxfId="969" priority="101"/>
  </conditionalFormatting>
  <conditionalFormatting sqref="JT44">
    <cfRule type="duplicateValues" dxfId="968" priority="100"/>
  </conditionalFormatting>
  <conditionalFormatting sqref="KN44">
    <cfRule type="duplicateValues" dxfId="967" priority="99"/>
  </conditionalFormatting>
  <conditionalFormatting sqref="LH44">
    <cfRule type="duplicateValues" dxfId="966" priority="98"/>
  </conditionalFormatting>
  <conditionalFormatting sqref="MB44">
    <cfRule type="duplicateValues" dxfId="965" priority="97"/>
  </conditionalFormatting>
  <conditionalFormatting sqref="MV44">
    <cfRule type="duplicateValues" dxfId="964" priority="96"/>
  </conditionalFormatting>
  <conditionalFormatting sqref="NP44">
    <cfRule type="duplicateValues" dxfId="963" priority="95"/>
  </conditionalFormatting>
  <conditionalFormatting sqref="OJ44">
    <cfRule type="duplicateValues" dxfId="962" priority="94"/>
  </conditionalFormatting>
  <conditionalFormatting sqref="PD44">
    <cfRule type="duplicateValues" dxfId="961" priority="93"/>
  </conditionalFormatting>
  <conditionalFormatting sqref="AX45:BF45 AN45:AV45">
    <cfRule type="duplicateValues" dxfId="960" priority="92"/>
  </conditionalFormatting>
  <conditionalFormatting sqref="BR45:BZ45 BH45:BP45">
    <cfRule type="duplicateValues" dxfId="959" priority="91"/>
  </conditionalFormatting>
  <conditionalFormatting sqref="CL45:CT45 CB45:CJ45">
    <cfRule type="duplicateValues" dxfId="958" priority="90"/>
  </conditionalFormatting>
  <conditionalFormatting sqref="DF45:DN45 CV45:DD45">
    <cfRule type="duplicateValues" dxfId="957" priority="89"/>
  </conditionalFormatting>
  <conditionalFormatting sqref="DZ45:EH45 DP45:DX45">
    <cfRule type="duplicateValues" dxfId="956" priority="88"/>
  </conditionalFormatting>
  <conditionalFormatting sqref="ET45:FB45 EJ45:ER45">
    <cfRule type="duplicateValues" dxfId="955" priority="87"/>
  </conditionalFormatting>
  <conditionalFormatting sqref="D52">
    <cfRule type="duplicateValues" dxfId="954" priority="86"/>
  </conditionalFormatting>
  <conditionalFormatting sqref="D53">
    <cfRule type="duplicateValues" dxfId="953" priority="85"/>
  </conditionalFormatting>
  <conditionalFormatting sqref="T46:AC46">
    <cfRule type="duplicateValues" dxfId="952" priority="84"/>
  </conditionalFormatting>
  <conditionalFormatting sqref="T47:AC47">
    <cfRule type="duplicateValues" dxfId="951" priority="83"/>
  </conditionalFormatting>
  <conditionalFormatting sqref="T48:AC48">
    <cfRule type="duplicateValues" dxfId="950" priority="82"/>
  </conditionalFormatting>
  <conditionalFormatting sqref="T49:AB49">
    <cfRule type="duplicateValues" dxfId="949" priority="81"/>
  </conditionalFormatting>
  <conditionalFormatting sqref="AC49">
    <cfRule type="duplicateValues" dxfId="948" priority="80"/>
  </conditionalFormatting>
  <conditionalFormatting sqref="T50:AB50">
    <cfRule type="duplicateValues" dxfId="947" priority="79"/>
  </conditionalFormatting>
  <conditionalFormatting sqref="AC50">
    <cfRule type="duplicateValues" dxfId="946" priority="78"/>
  </conditionalFormatting>
  <conditionalFormatting sqref="T51:AB51">
    <cfRule type="duplicateValues" dxfId="945" priority="77"/>
  </conditionalFormatting>
  <conditionalFormatting sqref="AC51">
    <cfRule type="duplicateValues" dxfId="944" priority="76"/>
  </conditionalFormatting>
  <conditionalFormatting sqref="T54:AC54">
    <cfRule type="duplicateValues" dxfId="943" priority="75"/>
  </conditionalFormatting>
  <conditionalFormatting sqref="AC55">
    <cfRule type="duplicateValues" dxfId="942" priority="74"/>
  </conditionalFormatting>
  <conditionalFormatting sqref="T55:AB55">
    <cfRule type="duplicateValues" dxfId="941" priority="73"/>
  </conditionalFormatting>
  <conditionalFormatting sqref="T56:AC56">
    <cfRule type="duplicateValues" dxfId="940" priority="72"/>
  </conditionalFormatting>
  <conditionalFormatting sqref="T57:AC57">
    <cfRule type="duplicateValues" dxfId="939" priority="71"/>
  </conditionalFormatting>
  <conditionalFormatting sqref="T58:AB58">
    <cfRule type="duplicateValues" dxfId="938" priority="70"/>
  </conditionalFormatting>
  <conditionalFormatting sqref="AC58">
    <cfRule type="duplicateValues" dxfId="937" priority="69"/>
  </conditionalFormatting>
  <conditionalFormatting sqref="AC59">
    <cfRule type="duplicateValues" dxfId="936" priority="68"/>
  </conditionalFormatting>
  <conditionalFormatting sqref="T59:AB59">
    <cfRule type="duplicateValues" dxfId="935" priority="67"/>
  </conditionalFormatting>
  <conditionalFormatting sqref="D60">
    <cfRule type="duplicateValues" dxfId="934" priority="64"/>
  </conditionalFormatting>
  <conditionalFormatting sqref="AC62">
    <cfRule type="duplicateValues" dxfId="933" priority="63"/>
  </conditionalFormatting>
  <conditionalFormatting sqref="T62:AB62">
    <cfRule type="duplicateValues" dxfId="932" priority="62"/>
  </conditionalFormatting>
  <conditionalFormatting sqref="T63:AC63">
    <cfRule type="duplicateValues" dxfId="931" priority="57"/>
  </conditionalFormatting>
  <conditionalFormatting sqref="T66:AC66">
    <cfRule type="duplicateValues" dxfId="930" priority="56"/>
  </conditionalFormatting>
  <conditionalFormatting sqref="T64:AC64">
    <cfRule type="duplicateValues" dxfId="929" priority="58"/>
  </conditionalFormatting>
  <conditionalFormatting sqref="T65:AC65">
    <cfRule type="duplicateValues" dxfId="928" priority="59"/>
  </conditionalFormatting>
  <conditionalFormatting sqref="T67:AB67">
    <cfRule type="duplicateValues" dxfId="927" priority="60"/>
  </conditionalFormatting>
  <conditionalFormatting sqref="T68:AB68">
    <cfRule type="duplicateValues" dxfId="926" priority="55"/>
  </conditionalFormatting>
  <conditionalFormatting sqref="AC68">
    <cfRule type="duplicateValues" dxfId="925" priority="54"/>
  </conditionalFormatting>
  <conditionalFormatting sqref="T69:AC69">
    <cfRule type="duplicateValues" dxfId="924" priority="53"/>
  </conditionalFormatting>
  <conditionalFormatting sqref="U70:AC70">
    <cfRule type="duplicateValues" dxfId="923" priority="52"/>
  </conditionalFormatting>
  <conditionalFormatting sqref="T70">
    <cfRule type="duplicateValues" dxfId="922" priority="51"/>
  </conditionalFormatting>
  <conditionalFormatting sqref="T71:AB71">
    <cfRule type="duplicateValues" dxfId="921" priority="50"/>
  </conditionalFormatting>
  <conditionalFormatting sqref="T72:AB72">
    <cfRule type="duplicateValues" dxfId="920" priority="49"/>
  </conditionalFormatting>
  <conditionalFormatting sqref="T73:AB73">
    <cfRule type="duplicateValues" dxfId="919" priority="48"/>
  </conditionalFormatting>
  <conditionalFormatting sqref="T74:AB74">
    <cfRule type="duplicateValues" dxfId="918" priority="47"/>
  </conditionalFormatting>
  <conditionalFormatting sqref="T75:AB75">
    <cfRule type="duplicateValues" dxfId="917" priority="46"/>
  </conditionalFormatting>
  <conditionalFormatting sqref="AC71">
    <cfRule type="duplicateValues" dxfId="916" priority="45"/>
  </conditionalFormatting>
  <conditionalFormatting sqref="AC72">
    <cfRule type="duplicateValues" dxfId="915" priority="44"/>
  </conditionalFormatting>
  <conditionalFormatting sqref="AC73">
    <cfRule type="duplicateValues" dxfId="914" priority="43"/>
  </conditionalFormatting>
  <conditionalFormatting sqref="AC74">
    <cfRule type="duplicateValues" dxfId="913" priority="42"/>
  </conditionalFormatting>
  <conditionalFormatting sqref="AC75">
    <cfRule type="duplicateValues" dxfId="912" priority="41"/>
  </conditionalFormatting>
  <conditionalFormatting sqref="T77:AB77">
    <cfRule type="duplicateValues" dxfId="911" priority="40"/>
  </conditionalFormatting>
  <conditionalFormatting sqref="AC77">
    <cfRule type="duplicateValues" dxfId="910" priority="39"/>
  </conditionalFormatting>
  <conditionalFormatting sqref="T76:AC76">
    <cfRule type="duplicateValues" dxfId="909" priority="61"/>
  </conditionalFormatting>
  <conditionalFormatting sqref="T78:AB78">
    <cfRule type="duplicateValues" dxfId="908" priority="38"/>
  </conditionalFormatting>
  <conditionalFormatting sqref="AC78">
    <cfRule type="duplicateValues" dxfId="907" priority="37"/>
  </conditionalFormatting>
  <conditionalFormatting sqref="T81:X81">
    <cfRule type="duplicateValues" dxfId="906" priority="35"/>
  </conditionalFormatting>
  <conditionalFormatting sqref="AM61">
    <cfRule type="duplicateValues" dxfId="905" priority="25"/>
  </conditionalFormatting>
  <conditionalFormatting sqref="AD61">
    <cfRule type="duplicateValues" dxfId="904" priority="24"/>
  </conditionalFormatting>
  <conditionalFormatting sqref="AE61">
    <cfRule type="duplicateValues" dxfId="903" priority="23"/>
  </conditionalFormatting>
  <conditionalFormatting sqref="AF61">
    <cfRule type="duplicateValues" dxfId="902" priority="22"/>
  </conditionalFormatting>
  <conditionalFormatting sqref="AG61">
    <cfRule type="duplicateValues" dxfId="901" priority="21"/>
  </conditionalFormatting>
  <conditionalFormatting sqref="AH61">
    <cfRule type="duplicateValues" dxfId="900" priority="20"/>
  </conditionalFormatting>
  <conditionalFormatting sqref="AI61">
    <cfRule type="duplicateValues" dxfId="899" priority="19"/>
  </conditionalFormatting>
  <conditionalFormatting sqref="AJ61">
    <cfRule type="duplicateValues" dxfId="898" priority="18"/>
  </conditionalFormatting>
  <conditionalFormatting sqref="AK61">
    <cfRule type="duplicateValues" dxfId="897" priority="17"/>
  </conditionalFormatting>
  <conditionalFormatting sqref="AL61">
    <cfRule type="duplicateValues" dxfId="896" priority="16"/>
  </conditionalFormatting>
  <conditionalFormatting sqref="AC61">
    <cfRule type="duplicateValues" dxfId="895" priority="15"/>
  </conditionalFormatting>
  <conditionalFormatting sqref="T61:AB61">
    <cfRule type="duplicateValues" dxfId="894" priority="14"/>
  </conditionalFormatting>
  <conditionalFormatting sqref="T37:AC37">
    <cfRule type="duplicateValues" dxfId="893" priority="13"/>
  </conditionalFormatting>
  <conditionalFormatting sqref="AM37">
    <cfRule type="duplicateValues" dxfId="892" priority="12"/>
  </conditionalFormatting>
  <conditionalFormatting sqref="AD37:AL37">
    <cfRule type="duplicateValues" dxfId="891" priority="11"/>
  </conditionalFormatting>
  <conditionalFormatting sqref="T82:AC82">
    <cfRule type="duplicateValues" dxfId="890" priority="8"/>
  </conditionalFormatting>
  <conditionalFormatting sqref="AD82:AG82">
    <cfRule type="duplicateValues" dxfId="889" priority="6"/>
  </conditionalFormatting>
  <conditionalFormatting sqref="AH82:AM82">
    <cfRule type="duplicateValues" dxfId="888" priority="5"/>
  </conditionalFormatting>
  <conditionalFormatting sqref="I12">
    <cfRule type="expression" dxfId="887" priority="1">
      <formula>$N$12=2</formula>
    </cfRule>
    <cfRule type="expression" dxfId="886" priority="4">
      <formula>$N$12=1</formula>
    </cfRule>
  </conditionalFormatting>
  <conditionalFormatting sqref="L12">
    <cfRule type="expression" dxfId="885" priority="2">
      <formula>$N$12=1</formula>
    </cfRule>
    <cfRule type="expression" dxfId="884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3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5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352425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5" r:id="rId6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6" r:id="rId7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7" r:id="rId8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8" r:id="rId9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9" r:id="rId10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14</xdr:row>
                    <xdr:rowOff>19050</xdr:rowOff>
                  </from>
                  <to>
                    <xdr:col>10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0" r:id="rId11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1" r:id="rId12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2" r:id="rId13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3" r:id="rId14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4" r:id="rId15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352425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0" r:id="rId16" name="Option Button 24">
              <controlPr defaultSize="0" autoFill="0" autoLine="0" autoPict="0">
                <anchor moveWithCells="1">
                  <from>
                    <xdr:col>7</xdr:col>
                    <xdr:colOff>676275</xdr:colOff>
                    <xdr:row>7</xdr:row>
                    <xdr:rowOff>9525</xdr:rowOff>
                  </from>
                  <to>
                    <xdr:col>8</xdr:col>
                    <xdr:colOff>457200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1" r:id="rId17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3" r:id="rId18" name="Option Button 27">
              <controlPr defaultSize="0" autoFill="0" autoLine="0" autoPict="0" altText="">
                <anchor moveWithCells="1">
                  <from>
                    <xdr:col>12</xdr:col>
                    <xdr:colOff>85725</xdr:colOff>
                    <xdr:row>13</xdr:row>
                    <xdr:rowOff>161925</xdr:rowOff>
                  </from>
                  <to>
                    <xdr:col>12</xdr:col>
                    <xdr:colOff>133350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4" r:id="rId19" name="Option Button 2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5" r:id="rId20" name="Option Button 29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6" r:id="rId21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0" id="{89C7E41D-56B3-4FE8-88D5-B93EF89A5337}">
            <xm:f>$H$28=Formeln!$A$1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H28:K28</xm:sqref>
        </x14:conditionalFormatting>
        <x14:conditionalFormatting xmlns:xm="http://schemas.microsoft.com/office/excel/2006/main">
          <x14:cfRule type="expression" priority="229" id="{20D9C585-E960-4A00-A975-4915C02B6218}">
            <xm:f>$H$29=Formeln!$A$1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H29:K29</xm:sqref>
        </x14:conditionalFormatting>
        <x14:conditionalFormatting xmlns:xm="http://schemas.microsoft.com/office/excel/2006/main">
          <x14:cfRule type="expression" priority="228" id="{B5DC80F8-1CC2-4297-9D4D-2AB571B93E0B}">
            <xm:f>$H$31=Formeln!$A$1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H31:K31</xm:sqref>
        </x14:conditionalFormatting>
        <x14:conditionalFormatting xmlns:xm="http://schemas.microsoft.com/office/excel/2006/main">
          <x14:cfRule type="expression" priority="227" id="{05D62235-9600-4E3B-B2BD-762EAEFF7FB7}">
            <xm:f>$H$40=Formeln!$A$1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H40:K40</xm:sqref>
        </x14:conditionalFormatting>
        <x14:conditionalFormatting xmlns:xm="http://schemas.microsoft.com/office/excel/2006/main">
          <x14:cfRule type="expression" priority="226" id="{01E81717-D609-4CBE-92E2-1B2F51EB2A49}">
            <xm:f>$H$41=Formeln!$A$1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H41:K41</xm:sqref>
        </x14:conditionalFormatting>
        <x14:conditionalFormatting xmlns:xm="http://schemas.microsoft.com/office/excel/2006/main">
          <x14:cfRule type="expression" priority="224" id="{F3693B01-D9F1-4F6D-AF2B-09DF8B4E1855}">
            <xm:f>$J$44=Formeln!$A$1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J44:K44</xm:sqref>
        </x14:conditionalFormatting>
        <x14:conditionalFormatting xmlns:xm="http://schemas.microsoft.com/office/excel/2006/main">
          <x14:cfRule type="expression" priority="222" id="{7797A50C-7D1B-43EC-A1CC-3761FB2B3377}">
            <xm:f>$J$45=Formeln!$A$1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J45:K45</xm:sqref>
        </x14:conditionalFormatting>
        <x14:conditionalFormatting xmlns:xm="http://schemas.microsoft.com/office/excel/2006/main">
          <x14:cfRule type="expression" priority="221" id="{66898D22-BD49-4F36-A7D4-C849D98407A4}">
            <xm:f>$I$81=Formeln!$A$1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I81:K81</xm:sqref>
        </x14:conditionalFormatting>
        <x14:conditionalFormatting xmlns:xm="http://schemas.microsoft.com/office/excel/2006/main">
          <x14:cfRule type="expression" priority="220" id="{2EAD09A3-AD22-4BC3-8CAB-C631F890839B}">
            <xm:f>$I$82=Formeln!$A$1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I82</xm:sqref>
        </x14:conditionalFormatting>
        <x14:conditionalFormatting xmlns:xm="http://schemas.microsoft.com/office/excel/2006/main">
          <x14:cfRule type="expression" priority="218" id="{E7D9110D-2DEF-4D48-BFF2-479144C112AB}">
            <xm:f>$K$82=Formeln!$A$1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K82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>
          <x14:formula1>
            <xm:f>Formeln!$A$132:$A$142</xm:f>
          </x14:formula1>
          <xm:sqref>K82</xm:sqref>
        </x14:dataValidation>
        <x14:dataValidation type="list" allowBlank="1" showInputMessage="1" showErrorMessage="1">
          <x14:formula1>
            <xm:f>Formeln!$A$27:$A$48</xm:f>
          </x14:formula1>
          <xm:sqref>J44:K44</xm:sqref>
        </x14:dataValidation>
        <x14:dataValidation type="list" allowBlank="1" showInputMessage="1" showErrorMessage="1">
          <x14:formula1>
            <xm:f>Formeln!$A$20:$A$22</xm:f>
          </x14:formula1>
          <xm:sqref>I82</xm:sqref>
        </x14:dataValidation>
        <x14:dataValidation type="list" allowBlank="1" showInputMessage="1" showErrorMessage="1">
          <x14:formula1>
            <xm:f>Formeln!$A$17:$A$19</xm:f>
          </x14:formula1>
          <xm:sqref>H41:K41</xm:sqref>
        </x14:dataValidation>
        <x14:dataValidation type="list" allowBlank="1" showInputMessage="1" showErrorMessage="1">
          <x14:formula1>
            <xm:f>Formeln!$A$14:$A$16</xm:f>
          </x14:formula1>
          <xm:sqref>H40:K40</xm:sqref>
        </x14:dataValidation>
        <x14:dataValidation type="list" allowBlank="1" showInputMessage="1" showErrorMessage="1">
          <x14:formula1>
            <xm:f>Formeln!$A$9:$A$11</xm:f>
          </x14:formula1>
          <xm:sqref>H31:K31</xm:sqref>
        </x14:dataValidation>
        <x14:dataValidation type="list" allowBlank="1" showInputMessage="1" showErrorMessage="1">
          <x14:formula1>
            <xm:f>Formeln!$A$5:$A$8</xm:f>
          </x14:formula1>
          <xm:sqref>H29:K29</xm:sqref>
        </x14:dataValidation>
        <x14:dataValidation type="list" allowBlank="1" showInputMessage="1" showErrorMessage="1">
          <x14:formula1>
            <xm:f>Formeln!$A$1:$A$4</xm:f>
          </x14:formula1>
          <xm:sqref>H28:K28</xm:sqref>
        </x14:dataValidation>
        <x14:dataValidation type="list" allowBlank="1" showInputMessage="1" showErrorMessage="1">
          <x14:formula1>
            <xm:f>Formeln!$A$115:$A$120</xm:f>
          </x14:formula1>
          <xm:sqref>I81:K81</xm:sqref>
        </x14:dataValidation>
        <x14:dataValidation type="list" allowBlank="1" showInputMessage="1" showErrorMessage="1">
          <x14:formula1>
            <xm:f>Formeln!$A$49:$A$112</xm:f>
          </x14:formula1>
          <xm:sqref>J45:K45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PW107"/>
  <sheetViews>
    <sheetView showGridLines="0" showZeros="0" tabSelected="1" zoomScaleNormal="100" workbookViewId="0">
      <selection activeCell="C8" sqref="C8:E8"/>
    </sheetView>
  </sheetViews>
  <sheetFormatPr baseColWidth="10" defaultColWidth="0" defaultRowHeight="14.25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8" width="8.73046875" style="1" hidden="1" customWidth="1"/>
    <col min="19" max="19" width="24.73046875" style="1" hidden="1" customWidth="1"/>
    <col min="20" max="20" width="18.86328125" style="1" hidden="1" customWidth="1"/>
    <col min="21" max="16384" width="8.73046875" style="1" hidden="1"/>
  </cols>
  <sheetData>
    <row r="1" spans="1:17" ht="27.75">
      <c r="M1" s="2" t="str">
        <f>VLOOKUP("PREFA DACHSYSTEME",Sprachindex!A:Z,Info!$O$6,FALSE)</f>
        <v>PREFA DACHSYSTEME</v>
      </c>
    </row>
    <row r="2" spans="1:17" ht="27.75">
      <c r="D2" s="23"/>
      <c r="M2" s="2" t="str">
        <f>VLOOKUP("DACHRAUTE 29 × 29",Sprachindex!A:Z,Info!$O$6,FALSE)</f>
        <v>DACHRAUTE 29 × 29</v>
      </c>
    </row>
    <row r="3" spans="1:17" ht="15" customHeight="1"/>
    <row r="4" spans="1:17" ht="17.25" customHeight="1">
      <c r="J4" s="152" t="str">
        <f>VLOOKUP("RETOURNIERUNG PER FAX:",Sprachindex!A:Z,Info!$O$6,FALSE)</f>
        <v>RETOURNIERUNG PER FAX:</v>
      </c>
      <c r="K4" s="292"/>
      <c r="L4" s="293"/>
      <c r="M4" s="294"/>
      <c r="Q4" s="3"/>
    </row>
    <row r="5" spans="1:17" ht="17.25" customHeight="1">
      <c r="J5" s="152" t="str">
        <f>VLOOKUP("ODER EMAIL:",Sprachindex!A:Z,Info!$O$6,FALSE)</f>
        <v>ODER EMAIL:</v>
      </c>
      <c r="K5" s="292"/>
      <c r="L5" s="293"/>
      <c r="M5" s="294"/>
      <c r="Q5" s="3"/>
    </row>
    <row r="6" spans="1:17" ht="17.25" customHeight="1">
      <c r="J6" s="152" t="str">
        <f>VLOOKUP("Datum:",Sprachindex!A:Z,Info!$O$6,FALSE)</f>
        <v>Datum:</v>
      </c>
      <c r="K6" s="292"/>
      <c r="L6" s="293"/>
      <c r="M6" s="294"/>
      <c r="N6" s="18">
        <v>0</v>
      </c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P7" s="13"/>
    </row>
    <row r="8" spans="1:17" ht="15" customHeight="1">
      <c r="A8" s="123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57" t="str">
        <f>VLOOKUP("stucco",Sprachindex!A:Z,Info!$O$6,FALSE)</f>
        <v>stucco</v>
      </c>
      <c r="J8" s="122"/>
      <c r="K8" s="123"/>
      <c r="L8" s="122" t="str">
        <f>VLOOKUP("glatt",Sprachindex!A:Z,Info!$O$6,FALSE)</f>
        <v>glatt</v>
      </c>
      <c r="M8" s="123"/>
      <c r="N8" s="84"/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57"/>
      <c r="J9" s="124">
        <v>1</v>
      </c>
      <c r="K9" s="123"/>
      <c r="L9" s="123"/>
      <c r="M9" s="123"/>
      <c r="N9" s="5"/>
      <c r="Q9" s="4"/>
    </row>
    <row r="10" spans="1:17" ht="15" customHeight="1">
      <c r="A10" s="123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5"/>
      <c r="O10" s="14"/>
      <c r="Q10" s="4"/>
    </row>
    <row r="11" spans="1:17" ht="15" customHeight="1">
      <c r="A11" s="123"/>
      <c r="B11" s="123"/>
      <c r="C11" s="123"/>
      <c r="D11" s="123"/>
      <c r="E11" s="123"/>
      <c r="F11" s="123"/>
      <c r="G11" s="123"/>
      <c r="H11" s="123"/>
      <c r="I11" s="158"/>
      <c r="J11" s="124">
        <v>1</v>
      </c>
      <c r="K11" s="123"/>
      <c r="L11" s="123"/>
      <c r="M11" s="123"/>
      <c r="N11" s="5"/>
    </row>
    <row r="12" spans="1:17" ht="15" customHeight="1">
      <c r="A12" s="123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83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5"/>
      <c r="Q13" s="4"/>
    </row>
    <row r="14" spans="1:17" ht="15" customHeight="1">
      <c r="A14" s="123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5"/>
      <c r="Q14" s="4"/>
    </row>
    <row r="15" spans="1:17" ht="15" customHeight="1">
      <c r="A15" s="123"/>
      <c r="B15" s="123"/>
      <c r="C15" s="123"/>
      <c r="D15" s="123"/>
      <c r="E15" s="123"/>
      <c r="F15" s="123"/>
      <c r="G15" s="123" t="str">
        <f>VLOOKUP("01 P.10 braun",Sprachindex!A:Z,Info!$O$6,FALSE)</f>
        <v>01 P.10 braun</v>
      </c>
      <c r="H15" s="123"/>
      <c r="I15" s="123"/>
      <c r="J15" s="122" t="str">
        <f>VLOOKUP("07 P.10 hellgrau ",Sprachindex!A:Z,Info!$O$6,FALSE)</f>
        <v xml:space="preserve">07 P.10 hellgrau </v>
      </c>
      <c r="K15" s="123"/>
      <c r="L15" s="123"/>
      <c r="M15" s="123"/>
      <c r="N15" s="5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P.10 anthrazit",Sprachindex!A:Z,Info!$O$6,FALSE)</f>
        <v>02 P.10 anthrazit</v>
      </c>
      <c r="H16" s="123"/>
      <c r="I16" s="123"/>
      <c r="J16" s="125" t="str">
        <f>VLOOKUP("11 P.10 nussbraun",Sprachindex!A:Z,Info!$O$6,FALSE)</f>
        <v>11 P.10 nussbraun</v>
      </c>
      <c r="K16" s="123"/>
      <c r="L16" s="123"/>
      <c r="M16" s="123"/>
      <c r="N16" s="5"/>
      <c r="P16" s="13"/>
    </row>
    <row r="17" spans="1:39" ht="15" customHeight="1">
      <c r="A17" s="123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P.10 schwarz",Sprachindex!A:Z,Info!$O$6,FALSE)</f>
        <v>03 P.10 schwarz</v>
      </c>
      <c r="H17" s="123"/>
      <c r="I17" s="123"/>
      <c r="J17" s="125" t="str">
        <f>VLOOKUP("43 P.10 steingrau",Sprachindex!A:Z,Info!$O$6,FALSE)</f>
        <v>43 P.10 steingrau</v>
      </c>
      <c r="K17" s="123"/>
      <c r="L17" s="123"/>
      <c r="M17" s="123"/>
      <c r="N17" s="17"/>
      <c r="Q17" s="4"/>
    </row>
    <row r="18" spans="1:39" ht="15" customHeight="1">
      <c r="A18" s="123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P.10 ziegelrot",Sprachindex!A:Z,Info!$O$6,FALSE)</f>
        <v>04 P.10 ziegelrot</v>
      </c>
      <c r="H18" s="123"/>
      <c r="I18" s="123"/>
      <c r="J18" s="125" t="str">
        <f>VLOOKUP("13 naturblank",Sprachindex!A:Z,Info!$O$6,FALSE)</f>
        <v>13 naturblank</v>
      </c>
      <c r="K18" s="123"/>
      <c r="L18" s="123"/>
      <c r="M18" s="123"/>
      <c r="N18" s="5"/>
      <c r="Q18" s="4"/>
    </row>
    <row r="19" spans="1:39" ht="15" customHeight="1">
      <c r="A19" s="123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P.10 oxydrot",Sprachindex!A:Z,Info!$O$6,FALSE)</f>
        <v>05 P.10 oxydrot</v>
      </c>
      <c r="H19" s="123"/>
      <c r="I19" s="123"/>
      <c r="J19" s="125"/>
      <c r="K19" s="123"/>
      <c r="L19" s="124"/>
      <c r="M19" s="123"/>
      <c r="N19" s="5"/>
      <c r="Q19" s="4"/>
      <c r="S19" s="61"/>
      <c r="T19" s="61"/>
    </row>
    <row r="20" spans="1:39" ht="15" customHeight="1">
      <c r="A20" s="123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P.10 moosgrün",Sprachindex!A:Z,Info!$O$6,FALSE)</f>
        <v>06 P.10 moosgrün</v>
      </c>
      <c r="H20" s="123"/>
      <c r="I20" s="160"/>
      <c r="J20" s="161"/>
      <c r="K20" s="161"/>
      <c r="L20" s="123"/>
      <c r="M20" s="123"/>
      <c r="N20" s="83"/>
      <c r="Q20" s="4"/>
    </row>
    <row r="21" spans="1:39" ht="15" customHeight="1">
      <c r="A21" s="123"/>
      <c r="B21" s="127"/>
      <c r="C21" s="123"/>
      <c r="D21" s="123"/>
      <c r="E21" s="123"/>
      <c r="F21" s="123"/>
      <c r="G21" s="123"/>
      <c r="H21" s="123"/>
      <c r="I21" s="160"/>
      <c r="J21" s="123"/>
      <c r="K21" s="123"/>
      <c r="L21" s="123"/>
      <c r="M21" s="123"/>
      <c r="Q21" s="4"/>
    </row>
    <row r="22" spans="1:39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123"/>
      <c r="G22" s="123"/>
      <c r="H22" s="123"/>
      <c r="I22" s="123"/>
      <c r="J22" s="123"/>
      <c r="K22" s="123"/>
      <c r="L22" s="123"/>
      <c r="M22" s="123"/>
    </row>
    <row r="23" spans="1:39" ht="35.1" customHeight="1" thickBot="1">
      <c r="A23" s="128" t="str">
        <f>VLOOKUP("Menge",Sprachindex!A:Z,Info!$O$6,FALSE)</f>
        <v>Menge</v>
      </c>
      <c r="B23" s="207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O23" s="1"/>
      <c r="Q23" s="59"/>
      <c r="T23" s="75" t="s">
        <v>1554</v>
      </c>
      <c r="U23" s="75" t="s">
        <v>1555</v>
      </c>
      <c r="V23" s="75" t="s">
        <v>1556</v>
      </c>
      <c r="W23" s="75" t="s">
        <v>1557</v>
      </c>
      <c r="X23" s="75" t="s">
        <v>1558</v>
      </c>
      <c r="Y23" s="75" t="s">
        <v>1559</v>
      </c>
      <c r="Z23" s="75" t="s">
        <v>1560</v>
      </c>
      <c r="AA23" s="75" t="s">
        <v>1561</v>
      </c>
      <c r="AB23" s="75" t="s">
        <v>1562</v>
      </c>
      <c r="AC23" s="75" t="s">
        <v>1563</v>
      </c>
      <c r="AD23" s="75" t="s">
        <v>1554</v>
      </c>
      <c r="AE23" s="75" t="s">
        <v>1555</v>
      </c>
      <c r="AF23" s="75" t="s">
        <v>1556</v>
      </c>
      <c r="AG23" s="75" t="s">
        <v>1557</v>
      </c>
      <c r="AH23" s="75" t="s">
        <v>1558</v>
      </c>
      <c r="AI23" s="75" t="s">
        <v>1559</v>
      </c>
      <c r="AJ23" s="75" t="s">
        <v>1560</v>
      </c>
      <c r="AK23" s="75" t="s">
        <v>1561</v>
      </c>
      <c r="AL23" s="75" t="s">
        <v>1562</v>
      </c>
      <c r="AM23" s="75" t="s">
        <v>1563</v>
      </c>
    </row>
    <row r="24" spans="1:39" ht="32.1" customHeight="1">
      <c r="A24" s="169"/>
      <c r="B24" s="133" t="str">
        <f>VLOOKUP("m²",Sprachindex!A:Z,Info!$O$6,FALSE)</f>
        <v>m²</v>
      </c>
      <c r="C24" s="170"/>
      <c r="D24" s="171">
        <f>IF(AND($N$8=2,$N$20=1),T24,IF(AND($N$8=2,$N$20=4),U24,IF(AND($N$8=2,$N$20=5),V24,IF(AND($N$8=2,$N$20=11),W24,IF(AND($N$8=2,$N$20=7),X24,IF(AND($N$8=2,$N$20=3),Y24,IF(AND($N$8=2,$N$20=6),Z24,IF(AND($N$8=2,$N$20=9),AA24,IF(AND($N$8=2,$N$20=2),AB24,IF(AND($N$8=2,$N$20=8),AC24,IF(AND($N$8=1,$N$20=1),AD24,IF(AND($N$8=1,$N$20=1),AD24,IF(AND($N$8=1,$N$20=4),AE24,IF(AND($N$8=1,$N$20=5),AF24,IF(AND($N$8=1,$N$20=11),AG24,IF(AND($N$8=1,$N$20=7),AH24,IF(AND($N$8=1,$N$20=3),AI24,IF(AND($N$8=1,$N$20=6),AJ24,IF(AND($N$8=1,$N$20=9),AK24,IF(AND($N$8=1,$N$20=2),AL24,IF(AND($N$8=1,$N$20=8),AM24,0)))))))))))))))))))))</f>
        <v>0</v>
      </c>
      <c r="E24" s="295" t="str">
        <f>VLOOKUP("PREFA Dachraute (29 × 29 mm, 120 Stk./Kart.)",Sprachindex!A:Z,Info!$O$6,FALSE)</f>
        <v>PREFA Dachraute (29 × 29 mm, 120 Stk./Kart.)</v>
      </c>
      <c r="F24" s="296"/>
      <c r="G24" s="296"/>
      <c r="H24" s="296"/>
      <c r="I24" s="296"/>
      <c r="J24" s="296"/>
      <c r="K24" s="297"/>
      <c r="L24" s="133" t="str">
        <f t="shared" ref="L24:L55" si="0">IF(A24=0,"",IF($N$10=1,P24,Q24))</f>
        <v/>
      </c>
      <c r="M24" s="172"/>
      <c r="O24" s="1"/>
      <c r="P24" s="56"/>
      <c r="Q24" s="60" t="str">
        <f>TRUNC(ROUNDUP(A24/(1/12),0)*(1/12),2) &amp; " m²                                    " &amp; "(="&amp;ROUNDUP(A24/(1/12),0) &amp;" Stk)"</f>
        <v>0 m²                                    (=0 Stk)</v>
      </c>
      <c r="T24" s="72">
        <v>110800</v>
      </c>
      <c r="U24" s="72">
        <v>110801</v>
      </c>
      <c r="V24" s="72">
        <v>110802</v>
      </c>
      <c r="W24" s="72">
        <v>110803</v>
      </c>
      <c r="X24" s="72">
        <v>110804</v>
      </c>
      <c r="Y24" s="72">
        <v>110805</v>
      </c>
      <c r="Z24" s="72">
        <v>110806</v>
      </c>
      <c r="AA24" s="72">
        <v>110807</v>
      </c>
      <c r="AB24" s="72">
        <v>110808</v>
      </c>
      <c r="AC24" s="72">
        <v>591304</v>
      </c>
      <c r="AD24" s="72">
        <v>110810</v>
      </c>
      <c r="AE24" s="72">
        <v>110811</v>
      </c>
      <c r="AF24" s="72">
        <v>110812</v>
      </c>
      <c r="AG24" s="72">
        <v>110813</v>
      </c>
      <c r="AH24" s="72">
        <v>110814</v>
      </c>
      <c r="AI24" s="72">
        <v>110815</v>
      </c>
      <c r="AJ24" s="72">
        <v>110816</v>
      </c>
      <c r="AK24" s="72">
        <v>110817</v>
      </c>
      <c r="AL24" s="72">
        <v>110818</v>
      </c>
      <c r="AM24" s="72">
        <v>591314</v>
      </c>
    </row>
    <row r="25" spans="1:39" ht="32.1" customHeight="1">
      <c r="A25" s="164"/>
      <c r="B25" s="137" t="str">
        <f>VLOOKUP("lfm",Sprachindex!A:Z,Info!$O$6,FALSE)</f>
        <v>lfm</v>
      </c>
      <c r="C25" s="135"/>
      <c r="D25" s="136">
        <f>IF(AND($N$8=2,$N$20=1),T25,IF(AND($N$8=2,$N$20=4),U25,IF(AND($N$8=2,$N$20=5),V25,IF(AND($N$8=2,$N$20=11),W25,IF(AND($N$8=2,$N$20=7),X25,IF(AND($N$8=2,$N$20=3),Y25,IF(AND($N$8=2,$N$20=6),Z25,IF(AND($N$8=2,$N$20=9),AA25,IF(AND($N$8=2,$N$20=2),AB25,IF(AND($N$8=2,$N$20=8),AC25,IF(AND($N$8=1,$N$20=1),AD25,IF(AND($N$8=1,$N$20=1),AD25,IF(AND($N$8=1,$N$20=4),AE25,IF(AND($N$8=1,$N$20=5),AF25,IF(AND($N$8=1,$N$20=11),AG25,IF(AND($N$8=1,$N$20=7),AH25,IF(AND($N$8=1,$N$20=3),AI25,IF(AND($N$8=1,$N$20=6),AJ25,IF(AND($N$8=1,$N$20=9),AK25,IF(AND($N$8=1,$N$20=2),AL25,IF(AND($N$8=1,$N$20=8),AM25,0)))))))))))))))))))))</f>
        <v>0</v>
      </c>
      <c r="E25" s="264" t="str">
        <f>VLOOKUP("PREFA Startplatte (2,2 Stk./lfm, 100 Stk./Kart.)",Sprachindex!A:Z,Info!$O$6,FALSE)</f>
        <v>PREFA Startplatte (2,2 Stk./lfm, 100 Stk./Kart.)</v>
      </c>
      <c r="F25" s="265"/>
      <c r="G25" s="265"/>
      <c r="H25" s="265"/>
      <c r="I25" s="265"/>
      <c r="J25" s="265"/>
      <c r="K25" s="266"/>
      <c r="L25" s="137" t="str">
        <f t="shared" si="0"/>
        <v/>
      </c>
      <c r="M25" s="138"/>
      <c r="O25" s="1"/>
      <c r="P25" s="56"/>
      <c r="Q25" s="60" t="str">
        <f>TRUNC(ROUNDUP(A25/(1/2.2),0)*(1/2.2),2) &amp; " " &amp; Formeln!A124 &amp; "                                 " &amp; "(="&amp;ROUNDUP(A25/(1/2.2),0) &amp;" Stk)"</f>
        <v>0 lfm                                 (=0 Stk)</v>
      </c>
      <c r="T25" s="72">
        <v>110820</v>
      </c>
      <c r="U25" s="72">
        <v>110821</v>
      </c>
      <c r="V25" s="72">
        <v>110822</v>
      </c>
      <c r="W25" s="72">
        <v>110823</v>
      </c>
      <c r="X25" s="72">
        <v>110824</v>
      </c>
      <c r="Y25" s="72">
        <v>110825</v>
      </c>
      <c r="Z25" s="72">
        <v>110826</v>
      </c>
      <c r="AA25" s="72">
        <v>110827</v>
      </c>
      <c r="AB25" s="72">
        <v>110828</v>
      </c>
      <c r="AC25" s="72">
        <v>591324</v>
      </c>
      <c r="AD25" s="72">
        <v>110830</v>
      </c>
      <c r="AE25" s="72">
        <v>110831</v>
      </c>
      <c r="AF25" s="72">
        <v>110832</v>
      </c>
      <c r="AG25" s="72">
        <v>110833</v>
      </c>
      <c r="AH25" s="72">
        <v>110834</v>
      </c>
      <c r="AI25" s="72">
        <v>110835</v>
      </c>
      <c r="AJ25" s="72">
        <v>110836</v>
      </c>
      <c r="AK25" s="72">
        <v>110837</v>
      </c>
      <c r="AL25" s="72">
        <v>110838</v>
      </c>
      <c r="AM25" s="72">
        <v>591334</v>
      </c>
    </row>
    <row r="26" spans="1:39" ht="32.1" customHeight="1">
      <c r="A26" s="164"/>
      <c r="B26" s="137" t="str">
        <f>VLOOKUP("lfm",Sprachindex!A:Z,Info!$O$6,FALSE)</f>
        <v>lfm</v>
      </c>
      <c r="C26" s="135"/>
      <c r="D26" s="136">
        <f>IF(AND($N$8=2,$N$20=1),T26,IF(AND($N$8=2,$N$20=4),U26,IF(AND($N$8=2,$N$20=5),V26,IF(AND($N$8=2,$N$20=11),W26,IF(AND($N$8=2,$N$20=7),X26,IF(AND($N$8=2,$N$20=3),Y26,IF(AND($N$8=2,$N$20=6),Z26,IF(AND($N$8=2,$N$20=9),AA26,IF(AND($N$8=2,$N$20=2),AB26,IF(AND($N$8=2,$N$20=8),AC26,IF(AND($N$8=1,$N$20=1),AD26,IF(AND($N$8=1,$N$20=1),AD26,IF(AND($N$8=1,$N$20=4),AE26,IF(AND($N$8=1,$N$20=5),AF26,IF(AND($N$8=1,$N$20=11),AG26,IF(AND($N$8=1,$N$20=7),AH26,IF(AND($N$8=1,$N$20=3),AI26,IF(AND($N$8=1,$N$20=6),AJ26,IF(AND($N$8=1,$N$20=9),AK26,IF(AND($N$8=1,$N$20=2),AL26,IF(AND($N$8=1,$N$20=8),AM26,0)))))))))))))))))))))</f>
        <v>0</v>
      </c>
      <c r="E26" s="264" t="str">
        <f>VLOOKUP("PREFA Endplatte (2,2 Stk./lfm, 100 Stk./Kart.)",Sprachindex!A:Z,Info!$O$6,FALSE)</f>
        <v>PREFA Endplatte (2,2 Stk./lfm, 100 Stk./Kart.)</v>
      </c>
      <c r="F26" s="265"/>
      <c r="G26" s="265"/>
      <c r="H26" s="265"/>
      <c r="I26" s="265"/>
      <c r="J26" s="265"/>
      <c r="K26" s="266"/>
      <c r="L26" s="137" t="str">
        <f t="shared" si="0"/>
        <v/>
      </c>
      <c r="M26" s="138"/>
      <c r="O26" s="1"/>
      <c r="P26" s="56"/>
      <c r="Q26" s="60" t="str">
        <f>TRUNC(ROUNDUP(A26/(1/2.2),0)*(1/2.2),2) &amp; " " &amp; Formeln!A124 &amp; "                                 " &amp; "(="&amp;ROUNDUP(A26/(1/2.2),0) &amp;" Stk)"</f>
        <v>0 lfm                                 (=0 Stk)</v>
      </c>
      <c r="T26" s="72">
        <v>110840</v>
      </c>
      <c r="U26" s="72">
        <v>110841</v>
      </c>
      <c r="V26" s="72">
        <v>110842</v>
      </c>
      <c r="W26" s="72">
        <v>110843</v>
      </c>
      <c r="X26" s="72">
        <v>110844</v>
      </c>
      <c r="Y26" s="72">
        <v>110845</v>
      </c>
      <c r="Z26" s="72">
        <v>110846</v>
      </c>
      <c r="AA26" s="72">
        <v>110847</v>
      </c>
      <c r="AB26" s="72">
        <v>110848</v>
      </c>
      <c r="AC26" s="72">
        <v>591344</v>
      </c>
      <c r="AD26" s="72">
        <v>110850</v>
      </c>
      <c r="AE26" s="72">
        <v>110851</v>
      </c>
      <c r="AF26" s="72">
        <v>110852</v>
      </c>
      <c r="AG26" s="72">
        <v>110853</v>
      </c>
      <c r="AH26" s="72">
        <v>110854</v>
      </c>
      <c r="AI26" s="72">
        <v>110855</v>
      </c>
      <c r="AJ26" s="72">
        <v>110856</v>
      </c>
      <c r="AK26" s="72">
        <v>110857</v>
      </c>
      <c r="AL26" s="72">
        <v>110858</v>
      </c>
      <c r="AM26" s="72">
        <v>591354</v>
      </c>
    </row>
    <row r="27" spans="1:39" ht="32.1" customHeight="1">
      <c r="A27" s="164"/>
      <c r="B27" s="137" t="str">
        <f>VLOOKUP("Stk",Sprachindex!A:Z,Info!$O$6,FALSE)</f>
        <v>STK</v>
      </c>
      <c r="C27" s="135"/>
      <c r="D27" s="136">
        <v>505003</v>
      </c>
      <c r="E27" s="264" t="str">
        <f>VLOOKUP("PREFA Dachrautenhaft 29 × 29",Sprachindex!A:Z,Info!$O$6,FALSE)</f>
        <v>PREFA Dachrautenhaft 29 × 29</v>
      </c>
      <c r="F27" s="265"/>
      <c r="G27" s="265"/>
      <c r="H27" s="265"/>
      <c r="I27" s="265"/>
      <c r="J27" s="265"/>
      <c r="K27" s="266"/>
      <c r="L27" s="137" t="str">
        <f t="shared" si="0"/>
        <v/>
      </c>
      <c r="M27" s="138"/>
      <c r="O27" s="1"/>
      <c r="P27" s="11"/>
      <c r="Q27" s="11" t="str">
        <f>A27 &amp;" " &amp; VLOOKUP("Stk",Sprachindex!A:Z,Info!$O$6,FALSE)</f>
        <v xml:space="preserve"> STK</v>
      </c>
    </row>
    <row r="28" spans="1:39" ht="32.1" customHeight="1">
      <c r="A28" s="164"/>
      <c r="B28" s="137" t="str">
        <f>VLOOKUP("lfm",Sprachindex!A:Z,Info!$O$6,FALSE)</f>
        <v>lfm</v>
      </c>
      <c r="C28" s="135"/>
      <c r="D28" s="141">
        <v>562005</v>
      </c>
      <c r="E28" s="264" t="str">
        <f>VLOOKUP("PREFA Saumstreifen (1.800 × 158 × 1,00 mm)",Sprachindex!A:Z,Info!$O$6,FALSE)</f>
        <v>PREFA Saumstreifen (1.800 × 158 × 1,00 mm)</v>
      </c>
      <c r="F28" s="265"/>
      <c r="G28" s="265"/>
      <c r="H28" s="265"/>
      <c r="I28" s="265"/>
      <c r="J28" s="265"/>
      <c r="K28" s="266"/>
      <c r="L28" s="137" t="str">
        <f t="shared" si="0"/>
        <v/>
      </c>
      <c r="M28" s="138"/>
      <c r="O28" s="1"/>
      <c r="P28" s="31"/>
      <c r="Q28" s="31" t="str">
        <f>ROUNDUP(A28/1.8,0)*1.8 &amp; " " &amp; Formeln!A124 &amp; "                                 " &amp; "(="&amp;ROUNDUP(A28/1.8,0) &amp;" " &amp; Formeln!A123 &amp; ")"</f>
        <v>0 lfm                                 (=0 STK)</v>
      </c>
    </row>
    <row r="29" spans="1:39" ht="32.1" customHeight="1">
      <c r="A29" s="164"/>
      <c r="B29" s="137" t="str">
        <f>VLOOKUP("kg",Sprachindex!A:Z,Info!$O$6,FALSE)</f>
        <v>kg</v>
      </c>
      <c r="C29" s="135"/>
      <c r="D29" s="136">
        <f>IF(H29=Formeln!A2,340392,IF(H29=Formeln!A3,340394,IF(H29=Formeln!A4,341392,0)))</f>
        <v>0</v>
      </c>
      <c r="E29" s="283" t="str">
        <f>VLOOKUP("PREFA Rillennagel verzinkt",Sprachindex!A:Z,Info!$O$6,FALSE)</f>
        <v>PREFA Rillennagel verzinkt</v>
      </c>
      <c r="F29" s="284"/>
      <c r="G29" s="284"/>
      <c r="H29" s="269"/>
      <c r="I29" s="270"/>
      <c r="J29" s="270"/>
      <c r="K29" s="271"/>
      <c r="L29" s="137" t="str">
        <f t="shared" si="0"/>
        <v/>
      </c>
      <c r="M29" s="138"/>
      <c r="O29" s="1"/>
      <c r="P29" s="57"/>
      <c r="Q29" s="57" t="str">
        <f>ROUNDUP(A29/2.5,0)*2.5 &amp; " " &amp; Formeln!A126 &amp; "                              " &amp; "(="&amp;ROUNDUP(A29/2.5,0)*2.5*R29 &amp;"" &amp; Formeln!A123 &amp; ")"</f>
        <v>0 kg                              (=0STK)</v>
      </c>
      <c r="R29" s="8">
        <f>IF(H29=Formeln!A2,570,IF(H29=Formeln!A3,480,IF(H29=Formeln!A4,380,0)))</f>
        <v>0</v>
      </c>
    </row>
    <row r="30" spans="1:39" ht="32.1" customHeight="1">
      <c r="A30" s="164"/>
      <c r="B30" s="137" t="str">
        <f>VLOOKUP("Karton",Sprachindex!A:Z,Info!$O$6,FALSE)</f>
        <v>Karton</v>
      </c>
      <c r="C30" s="135"/>
      <c r="D30" s="136">
        <f>IF(H30=Formeln!A6,341395,IF(H30=Formeln!A7,341396,IF(H30=Formeln!A8,341398,0)))</f>
        <v>0</v>
      </c>
      <c r="E30" s="283" t="str">
        <f>VLOOKUP("Nägel für Bull Tack Power Nagler",Sprachindex!A:Z,Info!$O$6,FALSE)</f>
        <v>Nägel für Bull Tack Power Nagler</v>
      </c>
      <c r="F30" s="284"/>
      <c r="G30" s="284"/>
      <c r="H30" s="269"/>
      <c r="I30" s="270"/>
      <c r="J30" s="270"/>
      <c r="K30" s="271"/>
      <c r="L30" s="137" t="str">
        <f t="shared" si="0"/>
        <v/>
      </c>
      <c r="M30" s="138"/>
      <c r="O30" s="1"/>
      <c r="P30" s="57"/>
      <c r="Q30" s="57" t="str">
        <f>A30 &amp; " " &amp; Formeln!A125 &amp; "                    " &amp; "(="&amp;R30*A30 &amp;"" &amp; Formeln!A123 &amp; ")"</f>
        <v xml:space="preserve"> Karton                    (=0STK)</v>
      </c>
      <c r="R30" s="8">
        <f>IF(H30=Formeln!A7,2400,3200)</f>
        <v>3200</v>
      </c>
    </row>
    <row r="31" spans="1:39" ht="32.1" customHeight="1">
      <c r="A31" s="164"/>
      <c r="B31" s="137" t="str">
        <f>VLOOKUP("lfm",Sprachindex!A:Z,Info!$O$6,FALSE)</f>
        <v>lfm</v>
      </c>
      <c r="C31" s="135"/>
      <c r="D31" s="136">
        <f>IF($N$20=1,T31,IF($N$20=4,U31,IF($N$20=5,V31,IF($N$20=11,W31,IF($N$20=7,X31,IF($N$20=3,Y31,IF($N$20=6,Z31,IF($N$20=9,AA31,IF($N$20=2,AB31,IF($N$20=8,AC31,0))))))))))</f>
        <v>0</v>
      </c>
      <c r="E31" s="264" t="str">
        <f>VLOOKUP("PREFA Einlaufblech glatt 230 × 2.000 × 0,7 mm",Sprachindex!A:Z,Info!$O$6,FALSE)</f>
        <v>PREFA Einlaufblech glatt 230 × 2.000 × 0,7 mm</v>
      </c>
      <c r="F31" s="265"/>
      <c r="G31" s="265"/>
      <c r="H31" s="265"/>
      <c r="I31" s="265"/>
      <c r="J31" s="265"/>
      <c r="K31" s="266"/>
      <c r="L31" s="137" t="str">
        <f t="shared" si="0"/>
        <v/>
      </c>
      <c r="M31" s="138"/>
      <c r="O31" s="1"/>
      <c r="P31" s="11"/>
      <c r="Q31" s="11" t="str">
        <f>ROUNDUP(A31/2,0)*2 &amp;" " &amp; VLOOKUP("lfm",Sprachindex!A:Z,Info!$O$6,FALSE)</f>
        <v>0 lfm</v>
      </c>
      <c r="T31" s="72">
        <v>563004</v>
      </c>
      <c r="U31" s="72">
        <v>563006</v>
      </c>
      <c r="V31" s="72">
        <v>563001</v>
      </c>
      <c r="W31" s="72">
        <v>563005</v>
      </c>
      <c r="Y31" s="72">
        <v>563007</v>
      </c>
      <c r="Z31" s="72">
        <v>563016</v>
      </c>
      <c r="AA31" s="72">
        <v>563011</v>
      </c>
      <c r="AB31" s="72">
        <v>563017</v>
      </c>
      <c r="AC31" s="72">
        <v>563002</v>
      </c>
    </row>
    <row r="32" spans="1:39" ht="32.1" customHeight="1">
      <c r="A32" s="164"/>
      <c r="B32" s="137" t="str">
        <f>VLOOKUP("lfm",Sprachindex!A:Z,Info!$O$6,FALSE)</f>
        <v>lfm</v>
      </c>
      <c r="C32" s="140"/>
      <c r="D32" s="141">
        <f>IF(H32=Formeln!A10,507400,IF(H32=Formeln!A11,507401,IF(H32=Formeln!A12,507410,IF(H32=Formeln!A13,507411,0))))</f>
        <v>0</v>
      </c>
      <c r="E32" s="264" t="str">
        <f>VLOOKUP("PREFA Lüftungsband",Sprachindex!A:Z,Info!$O$6,FALSE)</f>
        <v>PREFA Lüftungsband</v>
      </c>
      <c r="F32" s="265"/>
      <c r="G32" s="265"/>
      <c r="H32" s="269"/>
      <c r="I32" s="270"/>
      <c r="J32" s="270"/>
      <c r="K32" s="271"/>
      <c r="L32" s="137" t="str">
        <f t="shared" si="0"/>
        <v/>
      </c>
      <c r="M32" s="138"/>
      <c r="O32" s="1"/>
      <c r="P32" s="11"/>
      <c r="Q32" s="11" t="str">
        <f>ROUNDUP(A32/40,0)*40 &amp;" " &amp; VLOOKUP("lfm",Sprachindex!A:Z,Info!$O$6,FALSE)</f>
        <v>0 lfm</v>
      </c>
    </row>
    <row r="33" spans="1:439" ht="32.1" customHeight="1">
      <c r="A33" s="164"/>
      <c r="B33" s="137" t="str">
        <f>VLOOKUP("lfm",Sprachindex!A:Z,Info!$O$6,FALSE)</f>
        <v>lfm</v>
      </c>
      <c r="C33" s="135"/>
      <c r="D33" s="136">
        <v>507300</v>
      </c>
      <c r="E33" s="264" t="str">
        <f>VLOOKUP("PREFA Vogelschutzgitter braun/anthrazit (125x2.000x0,7mm)",Sprachindex!A:Z,Info!$O$6,FALSE)</f>
        <v>PREFA Vogelschutzgitter braun/anthrazit (125x2.000x0,7mm)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38"/>
      <c r="O33" s="1"/>
      <c r="P33" s="11"/>
      <c r="Q33" s="11" t="str">
        <f>ROUNDUP(A33/2,0)*2 &amp;" " &amp; VLOOKUP("lfm",Sprachindex!A:Z,Info!$O$6,FALSE)</f>
        <v>0 lfm</v>
      </c>
    </row>
    <row r="34" spans="1:439" ht="32.1" customHeight="1">
      <c r="A34" s="164"/>
      <c r="B34" s="137" t="str">
        <f>VLOOKUP("lfm",Sprachindex!A:Z,Info!$O$6,FALSE)</f>
        <v>lfm</v>
      </c>
      <c r="C34" s="135"/>
      <c r="D34" s="136">
        <f>IF(AND($N$8=2,$N$20=1),T34,IF(AND($N$8=2,$N$20=4),U34,IF(AND($N$8=2,$N$20=5),V34,IF(AND($N$8=2,$N$20=11),W34,IF(AND($N$8=2,$N$20=7),X34,IF(AND($N$8=2,$N$20=3),Y34,IF(AND($N$8=2,$N$20=6),Z34,IF(AND($N$8=2,$N$20=9),AA34,IF(AND($N$8=2,$N$20=2),AB34,IF(AND($N$8=2,$N$20=8),AC34,IF(AND($N$8=1,$N$20=1),AD34,IF(AND($N$8=1,$N$20=1),AD34,IF(AND($N$8=1,$N$20=4),AE34,IF(AND($N$8=1,$N$20=5),AF34,IF(AND($N$8=1,$N$20=11),AG34,IF(AND($N$8=1,$N$20=7),AH34,IF(AND($N$8=1,$N$20=3),AI34,IF(AND($N$8=1,$N$20=6),AJ34,IF(AND($N$8=1,$N$20=9),AK34,IF(AND($N$8=1,$N$20=2),AL34,IF(AND($N$8=1,$N$20=8),AM34,0)))))))))))))))))))))</f>
        <v>0</v>
      </c>
      <c r="E34" s="264" t="str">
        <f>VLOOKUP("PREFA Ortgangstreifen (95 x 2.000 x 0,70 mm)",Sprachindex!A:Z,Info!$O$6,FALSE)</f>
        <v>PREFA Ortgangstreifen (95 x 2.000 x 0,70 mm)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38"/>
      <c r="O34" s="1"/>
      <c r="P34" s="11"/>
      <c r="Q34" s="11" t="str">
        <f>ROUNDUP(A34/2,0)*2 &amp;" " &amp; VLOOKUP("lfm",Sprachindex!A:Z,Info!$O$6,FALSE)</f>
        <v>0 lfm</v>
      </c>
      <c r="T34" s="72">
        <v>110500</v>
      </c>
      <c r="U34" s="72">
        <v>110501</v>
      </c>
      <c r="V34" s="72">
        <v>110502</v>
      </c>
      <c r="W34" s="72">
        <v>110503</v>
      </c>
      <c r="X34" s="72">
        <v>110504</v>
      </c>
      <c r="Y34" s="72">
        <v>110505</v>
      </c>
      <c r="Z34" s="72">
        <v>110506</v>
      </c>
      <c r="AA34" s="72">
        <v>110507</v>
      </c>
      <c r="AB34" s="72">
        <v>110508</v>
      </c>
      <c r="AC34" s="72">
        <v>564001</v>
      </c>
      <c r="AD34" s="72">
        <v>110510</v>
      </c>
      <c r="AE34" s="72">
        <v>110511</v>
      </c>
      <c r="AF34" s="72">
        <v>110512</v>
      </c>
      <c r="AG34" s="72">
        <v>110513</v>
      </c>
      <c r="AH34" s="72">
        <v>110514</v>
      </c>
      <c r="AI34" s="72">
        <v>110515</v>
      </c>
      <c r="AJ34" s="72">
        <v>110516</v>
      </c>
      <c r="AK34" s="72">
        <v>110517</v>
      </c>
      <c r="AL34" s="72">
        <v>110518</v>
      </c>
    </row>
    <row r="35" spans="1:439" ht="32.1" customHeight="1">
      <c r="A35" s="164"/>
      <c r="B35" s="137" t="str">
        <f>VLOOKUP("lfm",Sprachindex!A:Z,Info!$O$6,FALSE)</f>
        <v>lfm</v>
      </c>
      <c r="C35" s="135"/>
      <c r="D35" s="136">
        <f t="shared" ref="D35:D40" si="1">IF(AND($N$8=2,$N$20=1),T35,IF(AND($N$8=2,$N$20=4),U35,IF(AND($N$8=2,$N$20=5),V35,IF(AND($N$8=2,$N$20=11),W35,IF(AND($N$8=2,$N$20=7),X35,IF(AND($N$8=2,$N$20=3),Y35,IF(AND($N$8=2,$N$20=6),Z35,IF(AND($N$8=2,$N$20=9),AA35,IF(AND($N$8=2,$N$20=2),AB35,IF(AND($N$8=2,$N$20=8),AC35,IF(AND($N$8=1,$N$20=1),AD35,IF(AND($N$8=1,$N$20=1),AD35,IF(AND($N$8=1,$N$20=4),AE35,IF(AND($N$8=1,$N$20=5),AF35,IF(AND($N$8=1,$N$20=11),AG35,IF(AND($N$8=1,$N$20=7),AH35,IF(AND($N$8=1,$N$20=3),AI35,IF(AND($N$8=1,$N$20=6),AJ35,IF(AND($N$8=1,$N$20=9),AK35,IF(AND($N$8=1,$N$20=2),AL35,IF(AND($N$8=1,$N$20=8),AM35,0)))))))))))))))))))))</f>
        <v>0</v>
      </c>
      <c r="E35" s="264" t="str">
        <f>VLOOKUP("PREFA Sicherheitskehle stucco (3.000 mm lang)",Sprachindex!A:Z,Info!$O$6,FALSE)</f>
        <v>PREFA Sicherheitskehle stucco (3.000 mm lang)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38"/>
      <c r="O35" s="1"/>
      <c r="P35" s="11"/>
      <c r="Q35" s="11" t="str">
        <f>ROUNDUP(A35/3,0)*3 &amp;" " &amp; VLOOKUP("lfm",Sprachindex!A:Z,Info!$O$6,FALSE)</f>
        <v>0 lfm</v>
      </c>
      <c r="T35" s="72">
        <v>110520</v>
      </c>
      <c r="U35" s="72">
        <v>110521</v>
      </c>
      <c r="V35" s="72">
        <v>110522</v>
      </c>
      <c r="W35" s="72">
        <v>110523</v>
      </c>
      <c r="X35" s="72">
        <v>110524</v>
      </c>
      <c r="Y35" s="72">
        <v>110525</v>
      </c>
      <c r="Z35" s="72">
        <v>110526</v>
      </c>
      <c r="AA35" s="72">
        <v>110527</v>
      </c>
      <c r="AB35" s="72">
        <v>110528</v>
      </c>
      <c r="AD35" s="72">
        <v>110530</v>
      </c>
      <c r="AE35" s="72">
        <v>110531</v>
      </c>
      <c r="AF35" s="72">
        <v>110532</v>
      </c>
      <c r="AG35" s="72">
        <v>110533</v>
      </c>
      <c r="AH35" s="72">
        <v>110534</v>
      </c>
      <c r="AI35" s="72">
        <v>110535</v>
      </c>
      <c r="AJ35" s="72">
        <v>110536</v>
      </c>
      <c r="AK35" s="72">
        <v>110537</v>
      </c>
      <c r="AL35" s="72">
        <v>110538</v>
      </c>
    </row>
    <row r="36" spans="1:439" ht="32.1" customHeight="1">
      <c r="A36" s="164"/>
      <c r="B36" s="137" t="str">
        <f>VLOOKUP("lfm",Sprachindex!A:Z,Info!$O$6,FALSE)</f>
        <v>lfm</v>
      </c>
      <c r="C36" s="135"/>
      <c r="D36" s="136">
        <f t="shared" si="1"/>
        <v>0</v>
      </c>
      <c r="E36" s="264" t="str">
        <f>VLOOKUP("PREFA Grat- und Firstreiter 500 x 1,00 mm stucco
inkl. Niro Schraube 4,5x45mm und Dichscheibe",Sprachindex!A:Z,Info!$O$6,FALSE)</f>
        <v>PREFA Grat- und Firstreiter 500 x 1,00 mm stucco
inkl. Niro Schraube 4,5x45mm und Dichscheibe</v>
      </c>
      <c r="F36" s="265"/>
      <c r="G36" s="265"/>
      <c r="H36" s="265"/>
      <c r="I36" s="265"/>
      <c r="J36" s="265"/>
      <c r="K36" s="266"/>
      <c r="L36" s="137" t="str">
        <f t="shared" si="0"/>
        <v/>
      </c>
      <c r="M36" s="138"/>
      <c r="O36" s="1"/>
      <c r="P36" s="11"/>
      <c r="Q36" s="11" t="str">
        <f>ROUNDUP(A36/1,0)*1 &amp;" " &amp; VLOOKUP("lfm",Sprachindex!A:Z,Info!$O$6,FALSE)</f>
        <v>0 lfm</v>
      </c>
      <c r="T36" s="72">
        <v>110340</v>
      </c>
      <c r="U36" s="72">
        <v>110341</v>
      </c>
      <c r="V36" s="72">
        <v>110342</v>
      </c>
      <c r="W36" s="72">
        <v>110343</v>
      </c>
      <c r="X36" s="72">
        <v>110344</v>
      </c>
      <c r="Y36" s="72">
        <v>110345</v>
      </c>
      <c r="Z36" s="72">
        <v>110346</v>
      </c>
      <c r="AA36" s="72">
        <v>110347</v>
      </c>
      <c r="AB36" s="72">
        <v>110348</v>
      </c>
      <c r="AC36" s="72">
        <v>567002</v>
      </c>
      <c r="AD36" s="72">
        <v>110350</v>
      </c>
      <c r="AE36" s="72">
        <v>110351</v>
      </c>
      <c r="AF36" s="72">
        <v>110352</v>
      </c>
      <c r="AG36" s="72">
        <v>110353</v>
      </c>
      <c r="AH36" s="72">
        <v>110354</v>
      </c>
      <c r="AI36" s="72">
        <v>110355</v>
      </c>
      <c r="AJ36" s="72">
        <v>110356</v>
      </c>
      <c r="AK36" s="72">
        <v>110357</v>
      </c>
      <c r="AL36" s="72">
        <v>110358</v>
      </c>
    </row>
    <row r="37" spans="1:439" ht="32.1" customHeight="1">
      <c r="A37" s="164"/>
      <c r="B37" s="137" t="str">
        <f>VLOOKUP("Stk",Sprachindex!A:Z,Info!$O$6,FALSE)</f>
        <v>STK</v>
      </c>
      <c r="C37" s="135"/>
      <c r="D37" s="136">
        <f t="shared" si="1"/>
        <v>0</v>
      </c>
      <c r="E37" s="264" t="str">
        <f>VLOOKUP("PREFA Grat-/Firstreiter Anfangs-/Endstück stucco",Sprachindex!A:Z,Info!$O$6,FALSE)</f>
        <v>PREFA Grat-/Firstreiter Anfangs-/Endstück stucco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38"/>
      <c r="O37" s="1"/>
      <c r="P37" s="11"/>
      <c r="Q37" s="11" t="str">
        <f>ROUNDUP(A37/1,0)*1 &amp;" " &amp; VLOOKUP("Stk",Sprachindex!A:Z,Info!$O$6,FALSE)</f>
        <v>0 STK</v>
      </c>
      <c r="T37" s="72">
        <v>110320</v>
      </c>
      <c r="U37" s="72">
        <v>110321</v>
      </c>
      <c r="V37" s="72">
        <v>110322</v>
      </c>
      <c r="W37" s="72">
        <v>110323</v>
      </c>
      <c r="X37" s="72">
        <v>110324</v>
      </c>
      <c r="Y37" s="72">
        <v>110325</v>
      </c>
      <c r="Z37" s="72">
        <v>110326</v>
      </c>
      <c r="AA37" s="72">
        <v>110327</v>
      </c>
      <c r="AB37" s="72">
        <v>110328</v>
      </c>
      <c r="AC37" s="72">
        <v>517150</v>
      </c>
      <c r="AD37" s="72">
        <v>110330</v>
      </c>
      <c r="AE37" s="72">
        <v>110331</v>
      </c>
      <c r="AF37" s="72">
        <v>110332</v>
      </c>
      <c r="AG37" s="72">
        <v>110333</v>
      </c>
      <c r="AH37" s="72">
        <v>110334</v>
      </c>
      <c r="AI37" s="72">
        <v>110335</v>
      </c>
      <c r="AJ37" s="72">
        <v>110336</v>
      </c>
      <c r="AK37" s="72">
        <v>110337</v>
      </c>
      <c r="AL37" s="72">
        <v>110338</v>
      </c>
      <c r="AM37" s="72">
        <v>517170</v>
      </c>
    </row>
    <row r="38" spans="1:439" ht="32.1" customHeight="1">
      <c r="A38" s="164"/>
      <c r="B38" s="137" t="str">
        <f>VLOOKUP("lfm",Sprachindex!A:Z,Info!$O$6,FALSE)</f>
        <v>lfm</v>
      </c>
      <c r="C38" s="135"/>
      <c r="D38" s="136">
        <f t="shared" si="1"/>
        <v>0</v>
      </c>
      <c r="E38" s="264" t="str">
        <f>VLOOKUP("PREFA Jet-Lüfter stucco (1.200mm) inkl. Niro Schr. u.Dichtsch.",Sprachindex!A:Z,Info!$O$6,FALSE)</f>
        <v>PREFA Jet-Lüfter stucco (1.200mm) inkl. Niro Schr. u.Dichtsch.</v>
      </c>
      <c r="F38" s="265"/>
      <c r="G38" s="265"/>
      <c r="H38" s="265"/>
      <c r="I38" s="265"/>
      <c r="J38" s="265"/>
      <c r="K38" s="266"/>
      <c r="L38" s="137" t="str">
        <f t="shared" si="0"/>
        <v/>
      </c>
      <c r="M38" s="138"/>
      <c r="O38" s="1"/>
      <c r="P38" s="11"/>
      <c r="Q38" s="11" t="str">
        <f>ROUNDUP(A38/1.2,0)*1.2 &amp;" " &amp; VLOOKUP("lfm",Sprachindex!A:Z,Info!$O$6,FALSE)</f>
        <v>0 lfm</v>
      </c>
      <c r="T38" s="72">
        <v>110640</v>
      </c>
      <c r="U38" s="72">
        <v>110641</v>
      </c>
      <c r="V38" s="72">
        <v>110642</v>
      </c>
      <c r="W38" s="72">
        <v>110643</v>
      </c>
      <c r="X38" s="72">
        <v>110644</v>
      </c>
      <c r="Y38" s="72">
        <v>110645</v>
      </c>
      <c r="Z38" s="72">
        <v>110646</v>
      </c>
      <c r="AA38" s="72">
        <v>110647</v>
      </c>
      <c r="AB38" s="72">
        <v>110648</v>
      </c>
      <c r="AC38" s="72">
        <v>570160</v>
      </c>
      <c r="AD38" s="72">
        <v>110650</v>
      </c>
      <c r="AE38" s="72">
        <v>110651</v>
      </c>
      <c r="AF38" s="72">
        <v>110652</v>
      </c>
      <c r="AG38" s="72">
        <v>110653</v>
      </c>
      <c r="AH38" s="72">
        <v>110654</v>
      </c>
      <c r="AI38" s="72">
        <v>110655</v>
      </c>
      <c r="AJ38" s="72">
        <v>110656</v>
      </c>
      <c r="AK38" s="72">
        <v>110657</v>
      </c>
      <c r="AL38" s="72">
        <v>110658</v>
      </c>
      <c r="AM38" s="72">
        <v>570140</v>
      </c>
    </row>
    <row r="39" spans="1:439" ht="32.1" customHeight="1">
      <c r="A39" s="164"/>
      <c r="B39" s="137" t="str">
        <f>VLOOKUP("lfm",Sprachindex!A:Z,Info!$O$6,FALSE)</f>
        <v>lfm</v>
      </c>
      <c r="C39" s="135"/>
      <c r="D39" s="136">
        <f t="shared" si="1"/>
        <v>0</v>
      </c>
      <c r="E39" s="264" t="str">
        <f>VLOOKUP("PREFA Jet-Lüfter stucco (3.000mm) inkl. Niro Schr. u.Dichtsch.",Sprachindex!A:Z,Info!$O$6,FALSE)</f>
        <v>PREFA Jet-Lüfter stucco (3.000mm) inkl. Niro Schr. u.Dichtsch.</v>
      </c>
      <c r="F39" s="265"/>
      <c r="G39" s="265"/>
      <c r="H39" s="265"/>
      <c r="I39" s="265"/>
      <c r="J39" s="265"/>
      <c r="K39" s="266"/>
      <c r="L39" s="137" t="str">
        <f t="shared" si="0"/>
        <v/>
      </c>
      <c r="M39" s="138"/>
      <c r="O39" s="1"/>
      <c r="P39" s="11"/>
      <c r="Q39" s="11" t="str">
        <f>ROUNDUP(A39/3,0)*3 &amp;" " &amp; VLOOKUP("lfm",Sprachindex!A:Z,Info!$O$6,FALSE)</f>
        <v>0 lfm</v>
      </c>
      <c r="T39" s="72">
        <v>110620</v>
      </c>
      <c r="U39" s="72">
        <v>110621</v>
      </c>
      <c r="V39" s="72">
        <v>110622</v>
      </c>
      <c r="W39" s="72">
        <v>110623</v>
      </c>
      <c r="X39" s="72">
        <v>110624</v>
      </c>
      <c r="Y39" s="72">
        <v>110625</v>
      </c>
      <c r="Z39" s="72">
        <v>110626</v>
      </c>
      <c r="AA39" s="72">
        <v>110627</v>
      </c>
      <c r="AB39" s="72">
        <v>110628</v>
      </c>
      <c r="AC39" s="72">
        <v>570040</v>
      </c>
      <c r="AD39" s="72">
        <v>110630</v>
      </c>
      <c r="AE39" s="72">
        <v>110631</v>
      </c>
      <c r="AF39" s="72">
        <v>110632</v>
      </c>
      <c r="AG39" s="72">
        <v>110633</v>
      </c>
      <c r="AH39" s="72">
        <v>110634</v>
      </c>
      <c r="AI39" s="72">
        <v>110635</v>
      </c>
      <c r="AJ39" s="72">
        <v>110636</v>
      </c>
      <c r="AK39" s="72">
        <v>110637</v>
      </c>
      <c r="AL39" s="72">
        <v>110638</v>
      </c>
      <c r="AM39" s="72">
        <v>570060</v>
      </c>
    </row>
    <row r="40" spans="1:439" ht="32.1" customHeight="1">
      <c r="A40" s="164"/>
      <c r="B40" s="137" t="str">
        <f>VLOOKUP("Stk",Sprachindex!A:Z,Info!$O$6,FALSE)</f>
        <v>STK</v>
      </c>
      <c r="C40" s="135"/>
      <c r="D40" s="136">
        <f t="shared" si="1"/>
        <v>0</v>
      </c>
      <c r="E40" s="264" t="str">
        <f>VLOOKUP("PREFA Jet-Lüfter-Endstück stucco",Sprachindex!A:Z,Info!$O$6,FALSE)</f>
        <v>PREFA Jet-Lüfter-Endstück stucco</v>
      </c>
      <c r="F40" s="265"/>
      <c r="G40" s="265"/>
      <c r="H40" s="265"/>
      <c r="I40" s="265"/>
      <c r="J40" s="265"/>
      <c r="K40" s="266"/>
      <c r="L40" s="137" t="str">
        <f t="shared" si="0"/>
        <v/>
      </c>
      <c r="M40" s="138"/>
      <c r="O40" s="1"/>
      <c r="P40" s="11"/>
      <c r="Q40" s="11" t="str">
        <f>ROUNDUP(A40/1,0)*1 &amp;" " &amp; VLOOKUP("Stk",Sprachindex!A:Z,Info!$O$6,FALSE)</f>
        <v>0 STK</v>
      </c>
      <c r="T40" s="72">
        <v>110600</v>
      </c>
      <c r="U40" s="72">
        <v>110601</v>
      </c>
      <c r="V40" s="72">
        <v>110602</v>
      </c>
      <c r="W40" s="72">
        <v>110603</v>
      </c>
      <c r="X40" s="72">
        <v>110604</v>
      </c>
      <c r="Y40" s="72">
        <v>110605</v>
      </c>
      <c r="Z40" s="72">
        <v>110606</v>
      </c>
      <c r="AA40" s="72">
        <v>110607</v>
      </c>
      <c r="AB40" s="72">
        <v>110608</v>
      </c>
      <c r="AC40" s="72">
        <v>510030</v>
      </c>
      <c r="AD40" s="72">
        <v>110610</v>
      </c>
      <c r="AE40" s="72">
        <v>110611</v>
      </c>
      <c r="AF40" s="72">
        <v>110612</v>
      </c>
      <c r="AG40" s="72">
        <v>110613</v>
      </c>
      <c r="AH40" s="72">
        <v>110614</v>
      </c>
      <c r="AI40" s="72">
        <v>110615</v>
      </c>
      <c r="AJ40" s="72">
        <v>110616</v>
      </c>
      <c r="AK40" s="72">
        <v>110617</v>
      </c>
      <c r="AL40" s="72">
        <v>110618</v>
      </c>
      <c r="AM40" s="72">
        <v>510060</v>
      </c>
    </row>
    <row r="41" spans="1:439" ht="32.1" customHeight="1">
      <c r="A41" s="164"/>
      <c r="B41" s="137" t="str">
        <f>VLOOKUP("Stk",Sprachindex!A:Z,Info!$O$6,FALSE)</f>
        <v>STK</v>
      </c>
      <c r="C41" s="135"/>
      <c r="D41" s="136">
        <f>IF(H41=Formeln!A15,IF($N$20=1,T41,IF($N$20=4,U41,IF($N$20=5,V41,IF($N$20=11,W41,IF($N$20=7,X41,IF($N$20=3,Y41,IF($N$20=6,Z41,IF($N$20=9,AA41,IF($N$20=2,AB41,IF($N$20=8,AC41,0)))))))))),IF(H41=Formeln!A16,AC41,0))</f>
        <v>0</v>
      </c>
      <c r="E41" s="264" t="str">
        <f>VLOOKUP("Niro-Schraube mit Dichtscheibe für Grat-/Firstreiter",Sprachindex!A:Z,Info!$O$6,FALSE)</f>
        <v>Niro-Schraube mit Dichtscheibe für Grat-/Firstreiter</v>
      </c>
      <c r="F41" s="265"/>
      <c r="G41" s="265"/>
      <c r="H41" s="269"/>
      <c r="I41" s="270"/>
      <c r="J41" s="270"/>
      <c r="K41" s="271"/>
      <c r="L41" s="137" t="str">
        <f t="shared" si="0"/>
        <v/>
      </c>
      <c r="M41" s="138"/>
      <c r="O41" s="1"/>
      <c r="P41" s="11"/>
      <c r="Q41" s="11" t="str">
        <f>ROUNDUP(A41/250,0)*250 &amp;" " &amp; VLOOKUP("Stk",Sprachindex!A:Z,Info!$O$6,FALSE)</f>
        <v>0 STK</v>
      </c>
      <c r="T41" s="72">
        <v>340001</v>
      </c>
      <c r="U41" s="72">
        <v>340004</v>
      </c>
      <c r="V41" s="72">
        <v>340003</v>
      </c>
      <c r="W41" s="72">
        <v>340104</v>
      </c>
      <c r="Y41" s="72">
        <v>340002</v>
      </c>
      <c r="Z41" s="72">
        <v>340016</v>
      </c>
      <c r="AA41" s="72">
        <v>340011</v>
      </c>
      <c r="AC41" s="72">
        <v>340103</v>
      </c>
    </row>
    <row r="42" spans="1:439" ht="32.1" customHeight="1">
      <c r="A42" s="164"/>
      <c r="B42" s="137" t="str">
        <f>VLOOKUP("Stk",Sprachindex!A:Z,Info!$O$6,FALSE)</f>
        <v>STK</v>
      </c>
      <c r="C42" s="135"/>
      <c r="D42" s="178">
        <f>IF(H42=Formeln!A18,IF($N$20=1,T42,IF($N$20=4,U42,IF($N$20=5,V42,IF($N$20=11,W42,IF($N$20=7,X42,IF($N$20=3,Y42,IF($N$20=6,Z42,IF($N$20=9,AA42,IF($N$20=2,AB42,IF($N$20=8,AC42,0)))))))))),IF(H42=Formeln!A19,AC42,0))</f>
        <v>0</v>
      </c>
      <c r="E42" s="264" t="str">
        <f>VLOOKUP("Niro-Schraube mit Dichtscheibe für Jet-Lüfter",Sprachindex!A:Z,Info!$O$6,FALSE)</f>
        <v>Niro-Schraube mit Dichtscheibe für Jet-Lüfter</v>
      </c>
      <c r="F42" s="265"/>
      <c r="G42" s="265"/>
      <c r="H42" s="269"/>
      <c r="I42" s="270"/>
      <c r="J42" s="270"/>
      <c r="K42" s="271"/>
      <c r="L42" s="137" t="str">
        <f t="shared" si="0"/>
        <v/>
      </c>
      <c r="M42" s="138"/>
      <c r="O42" s="1"/>
      <c r="P42" s="11"/>
      <c r="Q42" s="11" t="str">
        <f>ROUNDUP(A42/100,0)*100 &amp;" " &amp; VLOOKUP("Stk",Sprachindex!A:Z,Info!$O$6,FALSE)</f>
        <v>0 STK</v>
      </c>
      <c r="T42" s="72">
        <v>340020</v>
      </c>
      <c r="U42" s="72">
        <v>340024</v>
      </c>
      <c r="V42" s="72">
        <v>340022</v>
      </c>
      <c r="W42" s="72">
        <v>340021</v>
      </c>
      <c r="Y42" s="72">
        <v>340025</v>
      </c>
      <c r="Z42" s="72">
        <v>340032</v>
      </c>
      <c r="AA42" s="72">
        <v>340027</v>
      </c>
      <c r="AC42" s="72">
        <v>340106</v>
      </c>
    </row>
    <row r="43" spans="1:439" ht="32.1" customHeight="1">
      <c r="A43" s="164"/>
      <c r="B43" s="137" t="str">
        <f>VLOOKUP("Stk",Sprachindex!A:Z,Info!$O$6,FALSE)</f>
        <v>STK</v>
      </c>
      <c r="C43" s="135"/>
      <c r="D43" s="136">
        <f>IF($N$20=1,T43,IF($N$20=4,U43,IF($N$20=5,V43,IF($N$20=11,W43,IF($N$20=7,X43,IF($N$20=3,Y43,IF($N$20=6,Z43,IF($N$20=9,AA43,IF($N$20=2,AB43,IF($N$20=8,AC43,0))))))))))</f>
        <v>0</v>
      </c>
      <c r="E43" s="264" t="str">
        <f>VLOOKUP("PREFA Froschmaulluken-Haube zum aufnieten glatt
Lüftungsquerschnitt ca. 30 cm²",Sprachindex!A:Z,Info!$O$6,FALSE)</f>
        <v>PREFA Froschmaulluken-Haube zum aufnieten glatt
Lüftungsquerschnitt ca. 30 cm²</v>
      </c>
      <c r="F43" s="265"/>
      <c r="G43" s="265"/>
      <c r="H43" s="265"/>
      <c r="I43" s="265"/>
      <c r="J43" s="265"/>
      <c r="K43" s="266"/>
      <c r="L43" s="137" t="str">
        <f t="shared" si="0"/>
        <v/>
      </c>
      <c r="M43" s="138"/>
      <c r="O43" s="1"/>
      <c r="P43" s="11"/>
      <c r="Q43" s="11" t="str">
        <f>ROUNDUP(A43/1,0)*1 &amp;" " &amp; VLOOKUP("Stk",Sprachindex!A:Z,Info!$O$6,FALSE)</f>
        <v>0 STK</v>
      </c>
      <c r="T43" s="72">
        <v>110100</v>
      </c>
      <c r="U43" s="72">
        <v>110101</v>
      </c>
      <c r="V43" s="72">
        <v>110102</v>
      </c>
      <c r="W43" s="72">
        <v>110103</v>
      </c>
      <c r="X43" s="72">
        <v>110104</v>
      </c>
      <c r="Y43" s="72">
        <v>110105</v>
      </c>
      <c r="Z43" s="72">
        <v>110106</v>
      </c>
      <c r="AA43" s="72">
        <v>110107</v>
      </c>
      <c r="AB43" s="72">
        <v>110108</v>
      </c>
      <c r="AC43" s="72">
        <v>512014</v>
      </c>
    </row>
    <row r="44" spans="1:439" ht="32.1" customHeight="1">
      <c r="A44" s="164"/>
      <c r="B44" s="137" t="str">
        <f>VLOOKUP("Stk",Sprachindex!A:Z,Info!$O$6,FALSE)</f>
        <v>STK</v>
      </c>
      <c r="C44" s="135"/>
      <c r="D44" s="142">
        <v>537730</v>
      </c>
      <c r="E44" s="264" t="str">
        <f>VLOOKUP("PREFA Dachluke (600x600 mm) komplett mit Holzrahmen",Sprachindex!A:Z,Info!$O$6,FALSE)</f>
        <v>PREFA Dachluke (600x600 mm) komplett mit Holzrahmen</v>
      </c>
      <c r="F44" s="265"/>
      <c r="G44" s="265"/>
      <c r="H44" s="265"/>
      <c r="I44" s="143"/>
      <c r="J44" s="143"/>
      <c r="K44" s="144"/>
      <c r="L44" s="137" t="str">
        <f t="shared" si="0"/>
        <v/>
      </c>
      <c r="M44" s="138"/>
      <c r="O44" s="1"/>
      <c r="P44" s="11"/>
      <c r="Q44" s="11" t="str">
        <f>ROUNDUP(A44/1,0)*1 &amp;" " &amp; VLOOKUP("Stk",Sprachindex!A:Z,Info!$O$6,FALSE)</f>
        <v>0 STK</v>
      </c>
      <c r="T44" s="75" t="s">
        <v>1554</v>
      </c>
      <c r="U44" s="75" t="s">
        <v>1555</v>
      </c>
      <c r="V44" s="75" t="s">
        <v>1556</v>
      </c>
      <c r="W44" s="75" t="s">
        <v>1557</v>
      </c>
      <c r="X44" s="75" t="s">
        <v>1558</v>
      </c>
      <c r="Y44" s="75" t="s">
        <v>1559</v>
      </c>
      <c r="Z44" s="75" t="s">
        <v>1560</v>
      </c>
      <c r="AA44" s="75" t="s">
        <v>1561</v>
      </c>
      <c r="AB44" s="75" t="s">
        <v>1562</v>
      </c>
      <c r="AC44" s="75" t="s">
        <v>1563</v>
      </c>
      <c r="AD44" s="75" t="s">
        <v>1554</v>
      </c>
      <c r="AE44" s="75" t="s">
        <v>1555</v>
      </c>
      <c r="AF44" s="75" t="s">
        <v>1556</v>
      </c>
      <c r="AG44" s="75" t="s">
        <v>1557</v>
      </c>
      <c r="AH44" s="75" t="s">
        <v>1558</v>
      </c>
      <c r="AI44" s="75" t="s">
        <v>1559</v>
      </c>
      <c r="AJ44" s="75" t="s">
        <v>1560</v>
      </c>
      <c r="AK44" s="75" t="s">
        <v>1561</v>
      </c>
      <c r="AL44" s="75" t="s">
        <v>1562</v>
      </c>
      <c r="AM44" s="75" t="s">
        <v>1563</v>
      </c>
    </row>
    <row r="45" spans="1:439" ht="32.1" customHeight="1">
      <c r="A45" s="164"/>
      <c r="B45" s="137" t="str">
        <f>VLOOKUP("Stk",Sprachindex!A:Z,Info!$O$6,FALSE)</f>
        <v>STK</v>
      </c>
      <c r="C45" s="135"/>
      <c r="D45" s="136">
        <f>IF(J45=Formeln!A28,AM45,IF(J45=Formeln!A29,BG45,IF(J45=Formeln!A30,CA45,IF(J45=Formeln!A31,CU45,IF(J45=Formeln!A32,DO45,IF(J45=Formeln!A33,EI45,IF(J45=Formeln!A34,FC45,IF(J45=Formeln!A35,FW45,IF(J45=Formeln!A36,GQ45,IF(J45=Formeln!A37,HK45,IF(J45=Formeln!A38,IE45,IF(J45=Formeln!A39,IY45,IF(J45=Formeln!A40,JS45,IF(J45=Formeln!A41,KM45,IF(J45=Formeln!A45,LG45,IF(J45=Formeln!A43,MA45,IF(J45=Formeln!A45,MU45,IF(J45=Formeln!A45,NO45,IF(J45=Formeln!A45,OI45,IF(J45=Formeln!A47,PC45,IF(J45=Formeln!A48,PW45,0)))))))))))))))))))))</f>
        <v>0</v>
      </c>
      <c r="E45" s="264" t="str">
        <f>VLOOKUP("PREFA Einfassung für Velux-Dachflächenfenster stucco",Sprachindex!A:Z,Info!$O$6,FALSE)</f>
        <v>PREFA Einfassung für Velux-Dachflächenfenster stucco</v>
      </c>
      <c r="F45" s="265"/>
      <c r="G45" s="265"/>
      <c r="H45" s="265"/>
      <c r="I45" s="145" t="str">
        <f>VLOOKUP("Maße:",Sprachindex!A:Z,Info!$O$6,FALSE)</f>
        <v>Maße:</v>
      </c>
      <c r="J45" s="269"/>
      <c r="K45" s="270"/>
      <c r="L45" s="137" t="str">
        <f t="shared" si="0"/>
        <v/>
      </c>
      <c r="M45" s="138"/>
      <c r="O45" s="1"/>
      <c r="P45" s="11"/>
      <c r="Q45" s="11" t="str">
        <f>ROUNDUP(A45/1,0)*1 &amp;" " &amp; VLOOKUP("Stk",Sprachindex!A:Z,Info!$O$6,FALSE)</f>
        <v>0 STK</v>
      </c>
      <c r="T45" s="72">
        <v>111110</v>
      </c>
      <c r="U45" s="76">
        <v>111111</v>
      </c>
      <c r="V45" s="76">
        <v>111112</v>
      </c>
      <c r="W45" s="76">
        <v>111113</v>
      </c>
      <c r="X45" s="76">
        <v>111114</v>
      </c>
      <c r="Y45" s="76">
        <v>111115</v>
      </c>
      <c r="Z45" s="76">
        <v>111116</v>
      </c>
      <c r="AA45" s="76">
        <v>111117</v>
      </c>
      <c r="AB45" s="76">
        <v>111118</v>
      </c>
      <c r="AD45" s="76">
        <v>111100</v>
      </c>
      <c r="AE45" s="76">
        <v>111101</v>
      </c>
      <c r="AF45" s="76">
        <v>111102</v>
      </c>
      <c r="AG45" s="76">
        <v>111103</v>
      </c>
      <c r="AH45" s="76">
        <v>111104</v>
      </c>
      <c r="AI45" s="76">
        <v>111105</v>
      </c>
      <c r="AJ45" s="76">
        <v>111106</v>
      </c>
      <c r="AK45" s="76">
        <v>111107</v>
      </c>
      <c r="AL45" s="76">
        <v>111108</v>
      </c>
      <c r="AM45" s="78">
        <f>IF(AND($N$8=2,$N$20=1),T45,IF(AND($N$8=2,$N$20=4),U45,IF(AND($N$8=2,$N$20=5),V45,IF(AND($N$8=2,$N$20=11),W45,IF(AND($N$8=2,$N$20=7),X45,IF(AND($N$8=2,$N$20=3),Y45,IF(AND($N$8=2,$N$20=6),Z45,IF(AND($N$8=2,$N$20=9),AA45,IF(AND($N$8=2,$N$20=2),AB45,IF(AND($N$8=2,$N$20=8),AC45,IF(AND($N$8=1,$N$20=1),AD45,IF(AND($N$8=1,$N$20=1),AD45,IF(AND($N$8=1,$N$20=4),AE45,IF(AND($N$8=1,$N$20=5),AF45,IF(AND($N$8=1,$N$20=11),AG45,IF(AND($N$8=1,$N$20=7),AH45,IF(AND($N$8=1,$N$20=3),AI45,IF(AND($N$8=1,$N$20=6),AJ45,IF(AND($N$8=1,$N$20=9),AK45,IF(AND($N$8=1,$N$20=2),AL45,0))))))))))))))))))))</f>
        <v>0</v>
      </c>
      <c r="AN45" s="77">
        <v>111110</v>
      </c>
      <c r="AO45" s="76">
        <v>111111</v>
      </c>
      <c r="AP45" s="76">
        <v>111112</v>
      </c>
      <c r="AQ45" s="76">
        <v>111113</v>
      </c>
      <c r="AR45" s="76">
        <v>111114</v>
      </c>
      <c r="AS45" s="76">
        <v>111115</v>
      </c>
      <c r="AT45" s="76">
        <v>111116</v>
      </c>
      <c r="AU45" s="76">
        <v>111117</v>
      </c>
      <c r="AV45" s="76">
        <v>111118</v>
      </c>
      <c r="AX45" s="76">
        <v>111100</v>
      </c>
      <c r="AY45" s="76">
        <v>111101</v>
      </c>
      <c r="AZ45" s="76">
        <v>111102</v>
      </c>
      <c r="BA45" s="76">
        <v>111103</v>
      </c>
      <c r="BB45" s="76">
        <v>111104</v>
      </c>
      <c r="BC45" s="76">
        <v>111105</v>
      </c>
      <c r="BD45" s="76">
        <v>111106</v>
      </c>
      <c r="BE45" s="76">
        <v>111107</v>
      </c>
      <c r="BF45" s="76">
        <v>111108</v>
      </c>
      <c r="BG45" s="78">
        <f>IF(AND($N$8=2,$N$20=1),AN45,IF(AND($N$8=2,$N$20=4),AO45,IF(AND($N$8=2,$N$20=5),AP45,IF(AND($N$8=2,$N$20=11),AQ45,IF(AND($N$8=2,$N$20=7),AR45,IF(AND($N$8=2,$N$20=3),AS45,IF(AND($N$8=2,$N$20=6),AT45,IF(AND($N$8=2,$N$20=9),AU45,IF(AND($N$8=2,$N$20=2),AV45,IF(AND($N$8=2,$N$20=8),AW45,IF(AND($N$8=1,$N$20=1),AX45,IF(AND($N$8=1,$N$20=1),AX45,IF(AND($N$8=1,$N$20=4),AY45,IF(AND($N$8=1,$N$20=5),AZ45,IF(AND($N$8=1,$N$20=11),BA45,IF(AND($N$8=1,$N$20=7),BB45,IF(AND($N$8=1,$N$20=3),BC45,IF(AND($N$8=1,$N$20=6),BD45,IF(AND($N$8=1,$N$20=9),BE45,IF(AND($N$8=1,$N$20=2),BF45,0))))))))))))))))))))</f>
        <v>0</v>
      </c>
      <c r="BH45" s="77">
        <v>111110</v>
      </c>
      <c r="BI45" s="76">
        <v>111111</v>
      </c>
      <c r="BJ45" s="76">
        <v>111112</v>
      </c>
      <c r="BK45" s="76">
        <v>111113</v>
      </c>
      <c r="BL45" s="76">
        <v>111114</v>
      </c>
      <c r="BM45" s="76">
        <v>111115</v>
      </c>
      <c r="BN45" s="76">
        <v>111116</v>
      </c>
      <c r="BO45" s="76">
        <v>111117</v>
      </c>
      <c r="BP45" s="76">
        <v>111118</v>
      </c>
      <c r="BR45" s="76">
        <v>111100</v>
      </c>
      <c r="BS45" s="76">
        <v>111101</v>
      </c>
      <c r="BT45" s="76">
        <v>111102</v>
      </c>
      <c r="BU45" s="76">
        <v>111103</v>
      </c>
      <c r="BV45" s="76">
        <v>111104</v>
      </c>
      <c r="BW45" s="76">
        <v>111105</v>
      </c>
      <c r="BX45" s="76">
        <v>111106</v>
      </c>
      <c r="BY45" s="76">
        <v>111107</v>
      </c>
      <c r="BZ45" s="76">
        <v>111108</v>
      </c>
      <c r="CA45" s="78">
        <f>IF(AND($N$8=2,$N$20=1),BH45,IF(AND($N$8=2,$N$20=4),BI45,IF(AND($N$8=2,$N$20=5),BJ45,IF(AND($N$8=2,$N$20=11),BK45,IF(AND($N$8=2,$N$20=7),BL45,IF(AND($N$8=2,$N$20=3),BM45,IF(AND($N$8=2,$N$20=6),BN45,IF(AND($N$8=2,$N$20=9),BO45,IF(AND($N$8=2,$N$20=2),BP45,IF(AND($N$8=2,$N$20=8),BQ45,IF(AND($N$8=1,$N$20=1),BR45,IF(AND($N$8=1,$N$20=1),BR45,IF(AND($N$8=1,$N$20=4),BS45,IF(AND($N$8=1,$N$20=5),BT45,IF(AND($N$8=1,$N$20=11),BU45,IF(AND($N$8=1,$N$20=7),BV45,IF(AND($N$8=1,$N$20=3),BW45,IF(AND($N$8=1,$N$20=6),BX45,IF(AND($N$8=1,$N$20=9),BY45,IF(AND($N$8=1,$N$20=2),BZ45,0))))))))))))))))))))</f>
        <v>0</v>
      </c>
      <c r="CB45" s="77">
        <v>111130</v>
      </c>
      <c r="CC45" s="72">
        <v>111131</v>
      </c>
      <c r="CD45" s="72">
        <v>111132</v>
      </c>
      <c r="CE45" s="72">
        <v>111133</v>
      </c>
      <c r="CF45" s="72">
        <v>111134</v>
      </c>
      <c r="CG45" s="72">
        <v>111135</v>
      </c>
      <c r="CH45" s="72">
        <v>111136</v>
      </c>
      <c r="CI45" s="72">
        <v>111137</v>
      </c>
      <c r="CJ45" s="72">
        <v>111138</v>
      </c>
      <c r="CL45" s="72">
        <v>111120</v>
      </c>
      <c r="CM45" s="72">
        <v>111121</v>
      </c>
      <c r="CN45" s="72">
        <v>111122</v>
      </c>
      <c r="CO45" s="72">
        <v>111123</v>
      </c>
      <c r="CP45" s="72">
        <v>111124</v>
      </c>
      <c r="CQ45" s="72">
        <v>111125</v>
      </c>
      <c r="CR45" s="72">
        <v>111126</v>
      </c>
      <c r="CS45" s="72">
        <v>111127</v>
      </c>
      <c r="CT45" s="72">
        <v>111128</v>
      </c>
      <c r="CU45" s="78">
        <f>IF(AND($N$8=2,$N$20=1),CB45,IF(AND($N$8=2,$N$20=4),CC45,IF(AND($N$8=2,$N$20=5),CD45,IF(AND($N$8=2,$N$20=11),CE45,IF(AND($N$8=2,$N$20=7),CF45,IF(AND($N$8=2,$N$20=3),CG45,IF(AND($N$8=2,$N$20=6),CH45,IF(AND($N$8=2,$N$20=9),CI45,IF(AND($N$8=2,$N$20=2),CJ45,IF(AND($N$8=2,$N$20=8),CK45,IF(AND($N$8=1,$N$20=1),CL45,IF(AND($N$8=1,$N$20=1),CL45,IF(AND($N$8=1,$N$20=4),CM45,IF(AND($N$8=1,$N$20=5),CN45,IF(AND($N$8=1,$N$20=11),CO45,IF(AND($N$8=1,$N$20=7),CP45,IF(AND($N$8=1,$N$20=3),CQ45,IF(AND($N$8=1,$N$20=6),CR45,IF(AND($N$8=1,$N$20=9),CS45,IF(AND($N$8=1,$N$20=2),CT45,0))))))))))))))))))))</f>
        <v>0</v>
      </c>
      <c r="CV45" s="77">
        <v>111130</v>
      </c>
      <c r="CW45" s="72">
        <v>111131</v>
      </c>
      <c r="CX45" s="72">
        <v>111132</v>
      </c>
      <c r="CY45" s="72">
        <v>111133</v>
      </c>
      <c r="CZ45" s="72">
        <v>111134</v>
      </c>
      <c r="DA45" s="72">
        <v>111135</v>
      </c>
      <c r="DB45" s="72">
        <v>111136</v>
      </c>
      <c r="DC45" s="72">
        <v>111137</v>
      </c>
      <c r="DD45" s="72">
        <v>111138</v>
      </c>
      <c r="DF45" s="72">
        <v>111120</v>
      </c>
      <c r="DG45" s="72">
        <v>111121</v>
      </c>
      <c r="DH45" s="72">
        <v>111122</v>
      </c>
      <c r="DI45" s="72">
        <v>111123</v>
      </c>
      <c r="DJ45" s="72">
        <v>111124</v>
      </c>
      <c r="DK45" s="72">
        <v>111125</v>
      </c>
      <c r="DL45" s="72">
        <v>111126</v>
      </c>
      <c r="DM45" s="72">
        <v>111127</v>
      </c>
      <c r="DN45" s="72">
        <v>111128</v>
      </c>
      <c r="DO45" s="78">
        <f>IF(AND($N$8=2,$N$20=1),CV45,IF(AND($N$8=2,$N$20=4),CW45,IF(AND($N$8=2,$N$20=5),CX45,IF(AND($N$8=2,$N$20=11),CY45,IF(AND($N$8=2,$N$20=7),CZ45,IF(AND($N$8=2,$N$20=3),DA45,IF(AND($N$8=2,$N$20=6),DB45,IF(AND($N$8=2,$N$20=9),DC45,IF(AND($N$8=2,$N$20=2),DD45,IF(AND($N$8=2,$N$20=8),DE45,IF(AND($N$8=1,$N$20=1),DF45,IF(AND($N$8=1,$N$20=1),DF45,IF(AND($N$8=1,$N$20=4),DG45,IF(AND($N$8=1,$N$20=5),DH45,IF(AND($N$8=1,$N$20=11),DI45,IF(AND($N$8=1,$N$20=7),DJ45,IF(AND($N$8=1,$N$20=3),DK45,IF(AND($N$8=1,$N$20=6),DL45,IF(AND($N$8=1,$N$20=9),DM45,IF(AND($N$8=1,$N$20=2),DN45,0))))))))))))))))))))</f>
        <v>0</v>
      </c>
      <c r="DP45" s="77">
        <v>111270</v>
      </c>
      <c r="DQ45" s="72">
        <v>111271</v>
      </c>
      <c r="DR45" s="72">
        <v>111272</v>
      </c>
      <c r="DS45" s="72">
        <v>111273</v>
      </c>
      <c r="DT45" s="72">
        <v>111274</v>
      </c>
      <c r="DU45" s="72">
        <v>111275</v>
      </c>
      <c r="DV45" s="72">
        <v>111276</v>
      </c>
      <c r="DW45" s="72">
        <v>111277</v>
      </c>
      <c r="DX45" s="72">
        <v>111278</v>
      </c>
      <c r="DZ45" s="72">
        <v>111260</v>
      </c>
      <c r="EA45" s="72">
        <v>111261</v>
      </c>
      <c r="EB45" s="72">
        <v>111262</v>
      </c>
      <c r="EC45" s="72">
        <v>111263</v>
      </c>
      <c r="ED45" s="72">
        <v>111264</v>
      </c>
      <c r="EE45" s="72">
        <v>111265</v>
      </c>
      <c r="EF45" s="72">
        <v>111266</v>
      </c>
      <c r="EG45" s="72">
        <v>111267</v>
      </c>
      <c r="EH45" s="72">
        <v>111268</v>
      </c>
      <c r="EI45" s="78">
        <f>IF(AND($N$8=2,$N$20=1),DP45,IF(AND($N$8=2,$N$20=4),DQ45,IF(AND($N$8=2,$N$20=5),DR45,IF(AND($N$8=2,$N$20=11),DS45,IF(AND($N$8=2,$N$20=7),DT45,IF(AND($N$8=2,$N$20=3),DU45,IF(AND($N$8=2,$N$20=6),DV45,IF(AND($N$8=2,$N$20=9),DW45,IF(AND($N$8=2,$N$20=2),DX45,IF(AND($N$8=2,$N$20=8),DY45,IF(AND($N$8=1,$N$20=1),DZ45,IF(AND($N$8=1,$N$20=1),DZ45,IF(AND($N$8=1,$N$20=4),EA45,IF(AND($N$8=1,$N$20=5),EB45,IF(AND($N$8=1,$N$20=11),EC45,IF(AND($N$8=1,$N$20=7),ED45,IF(AND($N$8=1,$N$20=3),EE45,IF(AND($N$8=1,$N$20=6),EF45,IF(AND($N$8=1,$N$20=9),EG45,IF(AND($N$8=1,$N$20=2),EH45,0))))))))))))))))))))</f>
        <v>0</v>
      </c>
      <c r="EJ45" s="77">
        <v>111170</v>
      </c>
      <c r="EK45" s="72">
        <v>111171</v>
      </c>
      <c r="EL45" s="72">
        <v>111172</v>
      </c>
      <c r="EM45" s="72">
        <v>111173</v>
      </c>
      <c r="EN45" s="72">
        <v>111174</v>
      </c>
      <c r="EO45" s="72">
        <v>111175</v>
      </c>
      <c r="EP45" s="72">
        <v>111176</v>
      </c>
      <c r="EQ45" s="72">
        <v>111177</v>
      </c>
      <c r="ER45" s="72">
        <v>111178</v>
      </c>
      <c r="ET45" s="72">
        <v>111160</v>
      </c>
      <c r="EU45" s="72">
        <v>111161</v>
      </c>
      <c r="EV45" s="72">
        <v>111162</v>
      </c>
      <c r="EW45" s="72">
        <v>111163</v>
      </c>
      <c r="EX45" s="72">
        <v>111164</v>
      </c>
      <c r="EY45" s="72">
        <v>111165</v>
      </c>
      <c r="EZ45" s="72">
        <v>111166</v>
      </c>
      <c r="FA45" s="72">
        <v>111167</v>
      </c>
      <c r="FB45" s="72">
        <v>111168</v>
      </c>
      <c r="FC45" s="78">
        <f>IF(AND($N$8=2,$N$20=1),EJ45,IF(AND($N$8=2,$N$20=4),EK45,IF(AND($N$8=2,$N$20=5),EL45,IF(AND($N$8=2,$N$20=11),EM45,IF(AND($N$8=2,$N$20=7),EN45,IF(AND($N$8=2,$N$20=3),EO45,IF(AND($N$8=2,$N$20=6),EP45,IF(AND($N$8=2,$N$20=9),EQ45,IF(AND($N$8=2,$N$20=2),ER45,IF(AND($N$8=2,$N$20=8),ES45,IF(AND($N$8=1,$N$20=1),ET45,IF(AND($N$8=1,$N$20=1),ET45,IF(AND($N$8=1,$N$20=4),EU45,IF(AND($N$8=1,$N$20=5),EV45,IF(AND($N$8=1,$N$20=11),EW45,IF(AND($N$8=1,$N$20=7),EX45,IF(AND($N$8=1,$N$20=3),EY45,IF(AND($N$8=1,$N$20=6),EZ45,IF(AND($N$8=1,$N$20=9),FA45,IF(AND($N$8=1,$N$20=2),FB45,0))))))))))))))))))))</f>
        <v>0</v>
      </c>
      <c r="FD45" s="77">
        <v>111170</v>
      </c>
      <c r="FE45" s="72">
        <v>111171</v>
      </c>
      <c r="FF45" s="72">
        <v>111172</v>
      </c>
      <c r="FG45" s="72">
        <v>111173</v>
      </c>
      <c r="FH45" s="72">
        <v>111174</v>
      </c>
      <c r="FI45" s="72">
        <v>111175</v>
      </c>
      <c r="FJ45" s="72">
        <v>111176</v>
      </c>
      <c r="FK45" s="72">
        <v>111177</v>
      </c>
      <c r="FL45" s="72">
        <v>111178</v>
      </c>
      <c r="FN45" s="72">
        <v>111160</v>
      </c>
      <c r="FO45" s="72">
        <v>111161</v>
      </c>
      <c r="FP45" s="72">
        <v>111162</v>
      </c>
      <c r="FQ45" s="72">
        <v>111163</v>
      </c>
      <c r="FR45" s="72">
        <v>111164</v>
      </c>
      <c r="FS45" s="72">
        <v>111165</v>
      </c>
      <c r="FT45" s="72">
        <v>111166</v>
      </c>
      <c r="FU45" s="72">
        <v>111167</v>
      </c>
      <c r="FV45" s="72">
        <v>111168</v>
      </c>
      <c r="FW45" s="78">
        <f>IF(AND($N$8=2,$N$20=1),FD45,IF(AND($N$8=2,$N$20=4),FE45,IF(AND($N$8=2,$N$20=5),FF45,IF(AND($N$8=2,$N$20=11),FG45,IF(AND($N$8=2,$N$20=7),FH45,IF(AND($N$8=2,$N$20=3),FI45,IF(AND($N$8=2,$N$20=6),FJ45,IF(AND($N$8=2,$N$20=9),FK45,IF(AND($N$8=2,$N$20=2),FL45,IF(AND($N$8=2,$N$20=8),FM45,IF(AND($N$8=1,$N$20=1),FN45,IF(AND($N$8=1,$N$20=1),FN45,IF(AND($N$8=1,$N$20=4),FO45,IF(AND($N$8=1,$N$20=5),FP45,IF(AND($N$8=1,$N$20=11),FQ45,IF(AND($N$8=1,$N$20=7),FR45,IF(AND($N$8=1,$N$20=3),FS45,IF(AND($N$8=1,$N$20=6),FT45,IF(AND($N$8=1,$N$20=9),FU45,IF(AND($N$8=1,$N$20=2),FV45,0))))))))))))))))))))</f>
        <v>0</v>
      </c>
      <c r="FX45" s="77">
        <v>111170</v>
      </c>
      <c r="FY45" s="72">
        <v>111171</v>
      </c>
      <c r="FZ45" s="72">
        <v>111172</v>
      </c>
      <c r="GA45" s="72">
        <v>111173</v>
      </c>
      <c r="GB45" s="72">
        <v>111174</v>
      </c>
      <c r="GC45" s="72">
        <v>111175</v>
      </c>
      <c r="GD45" s="72">
        <v>111176</v>
      </c>
      <c r="GE45" s="72">
        <v>111177</v>
      </c>
      <c r="GF45" s="72">
        <v>111178</v>
      </c>
      <c r="GH45" s="72">
        <v>111160</v>
      </c>
      <c r="GI45" s="72">
        <v>111161</v>
      </c>
      <c r="GJ45" s="72">
        <v>111162</v>
      </c>
      <c r="GK45" s="72">
        <v>111163</v>
      </c>
      <c r="GL45" s="72">
        <v>111164</v>
      </c>
      <c r="GM45" s="72">
        <v>111165</v>
      </c>
      <c r="GN45" s="72">
        <v>111166</v>
      </c>
      <c r="GO45" s="72">
        <v>111167</v>
      </c>
      <c r="GP45" s="72">
        <v>111168</v>
      </c>
      <c r="GQ45" s="78">
        <f>IF(AND($N$8=2,$N$20=1),FX45,IF(AND($N$8=2,$N$20=4),FY45,IF(AND($N$8=2,$N$20=5),FZ45,IF(AND($N$8=2,$N$20=11),GA45,IF(AND($N$8=2,$N$20=7),GB45,IF(AND($N$8=2,$N$20=3),GC45,IF(AND($N$8=2,$N$20=6),GD45,IF(AND($N$8=2,$N$20=9),GE45,IF(AND($N$8=2,$N$20=2),GF45,IF(AND($N$8=2,$N$20=8),GG45,IF(AND($N$8=1,$N$20=1),GH45,IF(AND($N$8=1,$N$20=1),GH45,IF(AND($N$8=1,$N$20=4),GI45,IF(AND($N$8=1,$N$20=5),GJ45,IF(AND($N$8=1,$N$20=11),GK45,IF(AND($N$8=1,$N$20=7),GL45,IF(AND($N$8=1,$N$20=3),GM45,IF(AND($N$8=1,$N$20=6),GN45,IF(AND($N$8=1,$N$20=9),GO45,IF(AND($N$8=1,$N$20=2),GP45,0))))))))))))))))))))</f>
        <v>0</v>
      </c>
      <c r="GR45" s="77">
        <v>111290</v>
      </c>
      <c r="GS45" s="72">
        <v>111291</v>
      </c>
      <c r="GT45" s="72">
        <v>111292</v>
      </c>
      <c r="GU45" s="72">
        <v>111293</v>
      </c>
      <c r="GV45" s="72">
        <v>111294</v>
      </c>
      <c r="GW45" s="72">
        <v>111295</v>
      </c>
      <c r="GX45" s="72">
        <v>111296</v>
      </c>
      <c r="GY45" s="72">
        <v>111297</v>
      </c>
      <c r="GZ45" s="72">
        <v>111298</v>
      </c>
      <c r="HB45" s="72">
        <v>111280</v>
      </c>
      <c r="HC45" s="72">
        <v>111281</v>
      </c>
      <c r="HD45" s="72">
        <v>111282</v>
      </c>
      <c r="HE45" s="72">
        <v>111283</v>
      </c>
      <c r="HF45" s="72">
        <v>111284</v>
      </c>
      <c r="HG45" s="72">
        <v>111285</v>
      </c>
      <c r="HH45" s="72">
        <v>111286</v>
      </c>
      <c r="HI45" s="72">
        <v>111287</v>
      </c>
      <c r="HJ45" s="72">
        <v>111288</v>
      </c>
      <c r="HK45" s="78">
        <f>IF(AND($N$8=2,$N$20=1),GR45,IF(AND($N$8=2,$N$20=4),GS45,IF(AND($N$8=2,$N$20=5),GT45,IF(AND($N$8=2,$N$20=11),GU45,IF(AND($N$8=2,$N$20=7),GV45,IF(AND($N$8=2,$N$20=3),GW45,IF(AND($N$8=2,$N$20=6),GX45,IF(AND($N$8=2,$N$20=9),GY45,IF(AND($N$8=2,$N$20=2),GZ45,IF(AND($N$8=2,$N$20=8),HA45,IF(AND($N$8=1,$N$20=1),HB45,IF(AND($N$8=1,$N$20=1),HB45,IF(AND($N$8=1,$N$20=4),HC45,IF(AND($N$8=1,$N$20=5),HD45,IF(AND($N$8=1,$N$20=11),HE45,IF(AND($N$8=1,$N$20=7),HF45,IF(AND($N$8=1,$N$20=3),HG45,IF(AND($N$8=1,$N$20=6),HH45,IF(AND($N$8=1,$N$20=9),HI45,IF(AND($N$8=1,$N$20=2),HJ45,0))))))))))))))))))))</f>
        <v>0</v>
      </c>
      <c r="HL45" s="77">
        <v>111290</v>
      </c>
      <c r="HM45" s="72">
        <v>111291</v>
      </c>
      <c r="HN45" s="72">
        <v>111292</v>
      </c>
      <c r="HO45" s="72">
        <v>111293</v>
      </c>
      <c r="HP45" s="72">
        <v>111294</v>
      </c>
      <c r="HQ45" s="72">
        <v>111295</v>
      </c>
      <c r="HR45" s="72">
        <v>111296</v>
      </c>
      <c r="HS45" s="72">
        <v>111297</v>
      </c>
      <c r="HT45" s="72">
        <v>111298</v>
      </c>
      <c r="HV45" s="72">
        <v>111280</v>
      </c>
      <c r="HW45" s="72">
        <v>111281</v>
      </c>
      <c r="HX45" s="72">
        <v>111282</v>
      </c>
      <c r="HY45" s="72">
        <v>111283</v>
      </c>
      <c r="HZ45" s="72">
        <v>111284</v>
      </c>
      <c r="IA45" s="72">
        <v>111285</v>
      </c>
      <c r="IB45" s="72">
        <v>111286</v>
      </c>
      <c r="IC45" s="72">
        <v>111287</v>
      </c>
      <c r="ID45" s="72">
        <v>111288</v>
      </c>
      <c r="IE45" s="78">
        <f>IF(AND($N$8=2,$N$20=1),HL45,IF(AND($N$8=2,$N$20=4),HM45,IF(AND($N$8=2,$N$20=5),HN45,IF(AND($N$8=2,$N$20=11),HO45,IF(AND($N$8=2,$N$20=7),HP45,IF(AND($N$8=2,$N$20=3),HQ45,IF(AND($N$8=2,$N$20=6),HR45,IF(AND($N$8=2,$N$20=9),HS45,IF(AND($N$8=2,$N$20=2),HT45,IF(AND($N$8=2,$N$20=8),HU45,IF(AND($N$8=1,$N$20=1),HV45,IF(AND($N$8=1,$N$20=1),HV45,IF(AND($N$8=1,$N$20=4),HW45,IF(AND($N$8=1,$N$20=5),HX45,IF(AND($N$8=1,$N$20=11),HY45,IF(AND($N$8=1,$N$20=7),HZ45,IF(AND($N$8=1,$N$20=3),IA45,IF(AND($N$8=1,$N$20=6),IB45,IF(AND($N$8=1,$N$20=9),IC45,IF(AND($N$8=1,$N$20=2),ID45,0))))))))))))))))))))</f>
        <v>0</v>
      </c>
      <c r="IF45" s="77">
        <v>111190</v>
      </c>
      <c r="IG45" s="72">
        <v>111191</v>
      </c>
      <c r="IH45" s="72">
        <v>111192</v>
      </c>
      <c r="II45" s="72">
        <v>111193</v>
      </c>
      <c r="IJ45" s="72">
        <v>111194</v>
      </c>
      <c r="IK45" s="72">
        <v>111195</v>
      </c>
      <c r="IL45" s="72">
        <v>111196</v>
      </c>
      <c r="IM45" s="72">
        <v>111197</v>
      </c>
      <c r="IN45" s="72">
        <v>111198</v>
      </c>
      <c r="IP45" s="72">
        <v>111180</v>
      </c>
      <c r="IQ45" s="72">
        <v>111181</v>
      </c>
      <c r="IR45" s="72">
        <v>111182</v>
      </c>
      <c r="IS45" s="72">
        <v>111183</v>
      </c>
      <c r="IT45" s="72">
        <v>111184</v>
      </c>
      <c r="IU45" s="72">
        <v>111185</v>
      </c>
      <c r="IV45" s="72">
        <v>111186</v>
      </c>
      <c r="IW45" s="72">
        <v>111187</v>
      </c>
      <c r="IX45" s="72">
        <v>111188</v>
      </c>
      <c r="IY45" s="78">
        <f>IF(AND($N$8=2,$N$20=1),IF45,IF(AND($N$8=2,$N$20=4),IG45,IF(AND($N$8=2,$N$20=5),IH45,IF(AND($N$8=2,$N$20=11),II45,IF(AND($N$8=2,$N$20=7),IJ45,IF(AND($N$8=2,$N$20=3),IK45,IF(AND($N$8=2,$N$20=6),IL45,IF(AND($N$8=2,$N$20=9),IM45,IF(AND($N$8=2,$N$20=2),IN45,IF(AND($N$8=2,$N$20=8),IO45,IF(AND($N$8=1,$N$20=1),IP45,IF(AND($N$8=1,$N$20=1),IP45,IF(AND($N$8=1,$N$20=4),IQ45,IF(AND($N$8=1,$N$20=5),IR45,IF(AND($N$8=1,$N$20=11),IS45,IF(AND($N$8=1,$N$20=7),IT45,IF(AND($N$8=1,$N$20=3),IU45,IF(AND($N$8=1,$N$20=6),IV45,IF(AND($N$8=1,$N$20=9),IW45,IF(AND($N$8=1,$N$20=2),IX45,0))))))))))))))))))))</f>
        <v>0</v>
      </c>
      <c r="IZ45" s="77">
        <v>111190</v>
      </c>
      <c r="JA45" s="72">
        <v>111191</v>
      </c>
      <c r="JB45" s="72">
        <v>111192</v>
      </c>
      <c r="JC45" s="72">
        <v>111193</v>
      </c>
      <c r="JD45" s="72">
        <v>111194</v>
      </c>
      <c r="JE45" s="72">
        <v>111195</v>
      </c>
      <c r="JF45" s="72">
        <v>111196</v>
      </c>
      <c r="JG45" s="72">
        <v>111197</v>
      </c>
      <c r="JH45" s="72">
        <v>111198</v>
      </c>
      <c r="JJ45" s="72">
        <v>111180</v>
      </c>
      <c r="JK45" s="72">
        <v>111181</v>
      </c>
      <c r="JL45" s="72">
        <v>111182</v>
      </c>
      <c r="JM45" s="72">
        <v>111183</v>
      </c>
      <c r="JN45" s="72">
        <v>111184</v>
      </c>
      <c r="JO45" s="72">
        <v>111185</v>
      </c>
      <c r="JP45" s="72">
        <v>111186</v>
      </c>
      <c r="JQ45" s="72">
        <v>111187</v>
      </c>
      <c r="JR45" s="72">
        <v>111188</v>
      </c>
      <c r="JS45" s="78">
        <f>IF(AND($N$8=2,$N$20=1),IZ45,IF(AND($N$8=2,$N$20=4),JA45,IF(AND($N$8=2,$N$20=5),JB45,IF(AND($N$8=2,$N$20=11),JC45,IF(AND($N$8=2,$N$20=7),JD45,IF(AND($N$8=2,$N$20=3),JE45,IF(AND($N$8=2,$N$20=6),JF45,IF(AND($N$8=2,$N$20=9),JG45,IF(AND($N$8=2,$N$20=2),JH45,IF(AND($N$8=2,$N$20=8),JI45,IF(AND($N$8=1,$N$20=1),JJ45,IF(AND($N$8=1,$N$20=1),JJ45,IF(AND($N$8=1,$N$20=4),JK45,IF(AND($N$8=1,$N$20=5),JL45,IF(AND($N$8=1,$N$20=11),JM45,IF(AND($N$8=1,$N$20=7),JN45,IF(AND($N$8=1,$N$20=3),JO45,IF(AND($N$8=1,$N$20=6),JP45,IF(AND($N$8=1,$N$20=9),JQ45,IF(AND($N$8=1,$N$20=2),JR45,0))))))))))))))))))))</f>
        <v>0</v>
      </c>
      <c r="JT45" s="77">
        <v>111190</v>
      </c>
      <c r="JU45" s="72">
        <v>111191</v>
      </c>
      <c r="JV45" s="72">
        <v>111192</v>
      </c>
      <c r="JW45" s="72">
        <v>111193</v>
      </c>
      <c r="JX45" s="72">
        <v>111194</v>
      </c>
      <c r="JY45" s="72">
        <v>111195</v>
      </c>
      <c r="JZ45" s="72">
        <v>111196</v>
      </c>
      <c r="KA45" s="72">
        <v>111197</v>
      </c>
      <c r="KB45" s="72">
        <v>111198</v>
      </c>
      <c r="KD45" s="72">
        <v>111180</v>
      </c>
      <c r="KE45" s="72">
        <v>111181</v>
      </c>
      <c r="KF45" s="72">
        <v>111182</v>
      </c>
      <c r="KG45" s="72">
        <v>111183</v>
      </c>
      <c r="KH45" s="72">
        <v>111184</v>
      </c>
      <c r="KI45" s="72">
        <v>111185</v>
      </c>
      <c r="KJ45" s="72">
        <v>111186</v>
      </c>
      <c r="KK45" s="72">
        <v>111187</v>
      </c>
      <c r="KL45" s="72">
        <v>111188</v>
      </c>
      <c r="KM45" s="78">
        <f>IF(AND($N$8=2,$N$20=1),JT45,IF(AND($N$8=2,$N$20=4),JU45,IF(AND($N$8=2,$N$20=5),JV45,IF(AND($N$8=2,$N$20=11),JW45,IF(AND($N$8=2,$N$20=7),JX45,IF(AND($N$8=2,$N$20=3),JY45,IF(AND($N$8=2,$N$20=6),JZ45,IF(AND($N$8=2,$N$20=9),KA45,IF(AND($N$8=2,$N$20=2),KB45,IF(AND($N$8=2,$N$20=8),KC45,IF(AND($N$8=1,$N$20=1),KD45,IF(AND($N$8=1,$N$20=1),KD45,IF(AND($N$8=1,$N$20=4),KE45,IF(AND($N$8=1,$N$20=5),KF45,IF(AND($N$8=1,$N$20=11),KG45,IF(AND($N$8=1,$N$20=7),KH45,IF(AND($N$8=1,$N$20=3),KI45,IF(AND($N$8=1,$N$20=6),KJ45,IF(AND($N$8=1,$N$20=9),KK45,IF(AND($N$8=1,$N$20=2),KL45,0))))))))))))))))))))</f>
        <v>0</v>
      </c>
      <c r="KN45" s="77">
        <v>111210</v>
      </c>
      <c r="KO45" s="72">
        <v>111211</v>
      </c>
      <c r="KP45" s="72">
        <v>111212</v>
      </c>
      <c r="KQ45" s="72">
        <v>111213</v>
      </c>
      <c r="KR45" s="72">
        <v>111214</v>
      </c>
      <c r="KS45" s="72">
        <v>111215</v>
      </c>
      <c r="KT45" s="72">
        <v>111216</v>
      </c>
      <c r="KU45" s="72">
        <v>111217</v>
      </c>
      <c r="KV45" s="72">
        <v>111218</v>
      </c>
      <c r="KX45" s="72">
        <v>111200</v>
      </c>
      <c r="KY45" s="72">
        <v>111201</v>
      </c>
      <c r="KZ45" s="72">
        <v>111202</v>
      </c>
      <c r="LA45" s="72">
        <v>111203</v>
      </c>
      <c r="LB45" s="72">
        <v>111204</v>
      </c>
      <c r="LC45" s="72">
        <v>111205</v>
      </c>
      <c r="LD45" s="72">
        <v>111206</v>
      </c>
      <c r="LE45" s="72">
        <v>111207</v>
      </c>
      <c r="LF45" s="72">
        <v>111208</v>
      </c>
      <c r="LG45" s="78">
        <f>IF(AND($N$8=2,$N$20=1),KN45,IF(AND($N$8=2,$N$20=4),KO45,IF(AND($N$8=2,$N$20=5),KP45,IF(AND($N$8=2,$N$20=11),KQ45,IF(AND($N$8=2,$N$20=7),KR45,IF(AND($N$8=2,$N$20=3),KS45,IF(AND($N$8=2,$N$20=6),KT45,IF(AND($N$8=2,$N$20=9),KU45,IF(AND($N$8=2,$N$20=2),KV45,IF(AND($N$8=2,$N$20=8),KW45,IF(AND($N$8=1,$N$20=1),KX45,IF(AND($N$8=1,$N$20=1),KX45,IF(AND($N$8=1,$N$20=4),KY45,IF(AND($N$8=1,$N$20=5),KZ45,IF(AND($N$8=1,$N$20=11),LA45,IF(AND($N$8=1,$N$20=7),LB45,IF(AND($N$8=1,$N$20=3),LC45,IF(AND($N$8=1,$N$20=6),LD45,IF(AND($N$8=1,$N$20=9),LE45,IF(AND($N$8=1,$N$20=2),LF45,0))))))))))))))))))))</f>
        <v>0</v>
      </c>
      <c r="LH45" s="77">
        <v>111230</v>
      </c>
      <c r="LI45" s="72">
        <v>111231</v>
      </c>
      <c r="LJ45" s="72">
        <v>111232</v>
      </c>
      <c r="LK45" s="72">
        <v>111233</v>
      </c>
      <c r="LL45" s="72">
        <v>111234</v>
      </c>
      <c r="LM45" s="72">
        <v>111235</v>
      </c>
      <c r="LN45" s="72">
        <v>111236</v>
      </c>
      <c r="LO45" s="72">
        <v>111237</v>
      </c>
      <c r="LP45" s="72">
        <v>111238</v>
      </c>
      <c r="LR45" s="72">
        <v>111220</v>
      </c>
      <c r="LS45" s="72">
        <v>111221</v>
      </c>
      <c r="LT45" s="72">
        <v>111222</v>
      </c>
      <c r="LU45" s="72">
        <v>111223</v>
      </c>
      <c r="LV45" s="72">
        <v>111224</v>
      </c>
      <c r="LW45" s="72">
        <v>111225</v>
      </c>
      <c r="LX45" s="72">
        <v>111226</v>
      </c>
      <c r="LY45" s="72">
        <v>111227</v>
      </c>
      <c r="LZ45" s="72">
        <v>111228</v>
      </c>
      <c r="MA45" s="78">
        <f>IF(AND($N$8=2,$N$20=1),LH45,IF(AND($N$8=2,$N$20=4),LI45,IF(AND($N$8=2,$N$20=5),LJ45,IF(AND($N$8=2,$N$20=11),LK45,IF(AND($N$8=2,$N$20=7),LL45,IF(AND($N$8=2,$N$20=3),LM45,IF(AND($N$8=2,$N$20=6),LN45,IF(AND($N$8=2,$N$20=9),LO45,IF(AND($N$8=2,$N$20=2),LP45,IF(AND($N$8=2,$N$20=8),LQ45,IF(AND($N$8=1,$N$20=1),LR45,IF(AND($N$8=1,$N$20=1),LR45,IF(AND($N$8=1,$N$20=4),LS45,IF(AND($N$8=1,$N$20=5),LT45,IF(AND($N$8=1,$N$20=11),LU45,IF(AND($N$8=1,$N$20=7),LV45,IF(AND($N$8=1,$N$20=3),LW45,IF(AND($N$8=1,$N$20=6),LX45,IF(AND($N$8=1,$N$20=9),LY45,IF(AND($N$8=1,$N$20=2),LZ45,0))))))))))))))))))))</f>
        <v>0</v>
      </c>
      <c r="MB45" s="77">
        <v>111230</v>
      </c>
      <c r="MC45" s="72">
        <v>111231</v>
      </c>
      <c r="MD45" s="72">
        <v>111232</v>
      </c>
      <c r="ME45" s="72">
        <v>111233</v>
      </c>
      <c r="MF45" s="72">
        <v>111234</v>
      </c>
      <c r="MG45" s="72">
        <v>111235</v>
      </c>
      <c r="MH45" s="72">
        <v>111236</v>
      </c>
      <c r="MI45" s="72">
        <v>111237</v>
      </c>
      <c r="MJ45" s="72">
        <v>111238</v>
      </c>
      <c r="ML45" s="72">
        <v>111220</v>
      </c>
      <c r="MM45" s="72">
        <v>111221</v>
      </c>
      <c r="MN45" s="72">
        <v>111222</v>
      </c>
      <c r="MO45" s="72">
        <v>111223</v>
      </c>
      <c r="MP45" s="72">
        <v>111224</v>
      </c>
      <c r="MQ45" s="72">
        <v>111225</v>
      </c>
      <c r="MR45" s="72">
        <v>111226</v>
      </c>
      <c r="MS45" s="72">
        <v>111227</v>
      </c>
      <c r="MT45" s="72">
        <v>111228</v>
      </c>
      <c r="MU45" s="78">
        <f>IF(AND($N$8=2,$N$20=1),MB45,IF(AND($N$8=2,$N$20=4),MC45,IF(AND($N$8=2,$N$20=5),MD45,IF(AND($N$8=2,$N$20=11),ME45,IF(AND($N$8=2,$N$20=7),MF45,IF(AND($N$8=2,$N$20=3),MG45,IF(AND($N$8=2,$N$20=6),MH45,IF(AND($N$8=2,$N$20=9),MI45,IF(AND($N$8=2,$N$20=2),MJ45,IF(AND($N$8=2,$N$20=8),MK45,IF(AND($N$8=1,$N$20=1),ML45,IF(AND($N$8=1,$N$20=1),ML45,IF(AND($N$8=1,$N$20=4),MM45,IF(AND($N$8=1,$N$20=5),MN45,IF(AND($N$8=1,$N$20=11),MO45,IF(AND($N$8=1,$N$20=7),MP45,IF(AND($N$8=1,$N$20=3),MQ45,IF(AND($N$8=1,$N$20=6),MR45,IF(AND($N$8=1,$N$20=9),MS45,IF(AND($N$8=1,$N$20=2),MT45,0))))))))))))))))))))</f>
        <v>0</v>
      </c>
      <c r="MV45" s="77">
        <v>111610</v>
      </c>
      <c r="MW45" s="72">
        <v>111611</v>
      </c>
      <c r="MX45" s="72">
        <v>111612</v>
      </c>
      <c r="MY45" s="72">
        <v>111613</v>
      </c>
      <c r="MZ45" s="72">
        <v>111614</v>
      </c>
      <c r="NA45" s="72">
        <v>111615</v>
      </c>
      <c r="NB45" s="72">
        <v>111616</v>
      </c>
      <c r="NC45" s="72">
        <v>111617</v>
      </c>
      <c r="ND45" s="72">
        <v>111618</v>
      </c>
      <c r="NF45" s="72">
        <v>111600</v>
      </c>
      <c r="NG45" s="72">
        <v>111601</v>
      </c>
      <c r="NH45" s="72">
        <v>111602</v>
      </c>
      <c r="NI45" s="72">
        <v>111603</v>
      </c>
      <c r="NJ45" s="72">
        <v>111604</v>
      </c>
      <c r="NK45" s="72">
        <v>111605</v>
      </c>
      <c r="NL45" s="72">
        <v>111606</v>
      </c>
      <c r="NM45" s="72">
        <v>111607</v>
      </c>
      <c r="NN45" s="72">
        <v>111608</v>
      </c>
      <c r="NO45" s="78">
        <f>IF(AND($N$8=2,$N$20=1),MV45,IF(AND($N$8=2,$N$20=4),MW45,IF(AND($N$8=2,$N$20=5),MX45,IF(AND($N$8=2,$N$20=11),MY45,IF(AND($N$8=2,$N$20=7),MZ45,IF(AND($N$8=2,$N$20=3),NA45,IF(AND($N$8=2,$N$20=6),NB45,IF(AND($N$8=2,$N$20=9),NC45,IF(AND($N$8=2,$N$20=2),ND45,IF(AND($N$8=2,$N$20=8),NE45,IF(AND($N$8=1,$N$20=1),NF45,IF(AND($N$8=1,$N$20=1),NF45,IF(AND($N$8=1,$N$20=4),NG45,IF(AND($N$8=1,$N$20=5),NH45,IF(AND($N$8=1,$N$20=11),NI45,IF(AND($N$8=1,$N$20=7),NJ45,IF(AND($N$8=1,$N$20=3),NK45,IF(AND($N$8=1,$N$20=6),NL45,IF(AND($N$8=1,$N$20=9),NM45,IF(AND($N$8=1,$N$20=2),NN45,0))))))))))))))))))))</f>
        <v>0</v>
      </c>
      <c r="NP45" s="77">
        <v>111250</v>
      </c>
      <c r="NQ45" s="72">
        <v>111251</v>
      </c>
      <c r="NR45" s="72">
        <v>111252</v>
      </c>
      <c r="NS45" s="72">
        <v>111253</v>
      </c>
      <c r="NT45" s="72">
        <v>111254</v>
      </c>
      <c r="NU45" s="72">
        <v>111255</v>
      </c>
      <c r="NV45" s="72">
        <v>111256</v>
      </c>
      <c r="NW45" s="72">
        <v>111257</v>
      </c>
      <c r="NX45" s="72">
        <v>111258</v>
      </c>
      <c r="NZ45" s="72">
        <v>111240</v>
      </c>
      <c r="OA45" s="72">
        <v>111241</v>
      </c>
      <c r="OB45" s="72">
        <v>111242</v>
      </c>
      <c r="OC45" s="72">
        <v>111243</v>
      </c>
      <c r="OD45" s="72">
        <v>111244</v>
      </c>
      <c r="OE45" s="72">
        <v>111245</v>
      </c>
      <c r="OF45" s="72">
        <v>111246</v>
      </c>
      <c r="OG45" s="72">
        <v>111247</v>
      </c>
      <c r="OH45" s="72">
        <v>111248</v>
      </c>
      <c r="OI45" s="78">
        <f>IF(AND($N$8=2,$N$20=1),NP45,IF(AND($N$8=2,$N$20=4),NQ45,IF(AND($N$8=2,$N$20=5),NR45,IF(AND($N$8=2,$N$20=11),NS45,IF(AND($N$8=2,$N$20=7),NT45,IF(AND($N$8=2,$N$20=3),NU45,IF(AND($N$8=2,$N$20=6),NV45,IF(AND($N$8=2,$N$20=9),NW45,IF(AND($N$8=2,$N$20=2),NX45,IF(AND($N$8=2,$N$20=8),NY45,IF(AND($N$8=1,$N$20=1),NZ45,IF(AND($N$8=1,$N$20=1),NZ45,IF(AND($N$8=1,$N$20=4),OA45,IF(AND($N$8=1,$N$20=5),OB45,IF(AND($N$8=1,$N$20=11),OC45,IF(AND($N$8=1,$N$20=7),OD45,IF(AND($N$8=1,$N$20=3),OE45,IF(AND($N$8=1,$N$20=6),OF45,IF(AND($N$8=1,$N$20=9),OG45,IF(AND($N$8=1,$N$20=2),OH45,0))))))))))))))))))))</f>
        <v>0</v>
      </c>
      <c r="OJ45" s="77">
        <v>111250</v>
      </c>
      <c r="OK45" s="72">
        <v>111251</v>
      </c>
      <c r="OL45" s="72">
        <v>111252</v>
      </c>
      <c r="OM45" s="72">
        <v>111253</v>
      </c>
      <c r="ON45" s="72">
        <v>111254</v>
      </c>
      <c r="OO45" s="72">
        <v>111255</v>
      </c>
      <c r="OP45" s="72">
        <v>111256</v>
      </c>
      <c r="OQ45" s="72">
        <v>111257</v>
      </c>
      <c r="OR45" s="72">
        <v>111258</v>
      </c>
      <c r="OT45" s="72">
        <v>111240</v>
      </c>
      <c r="OU45" s="72">
        <v>111241</v>
      </c>
      <c r="OV45" s="72">
        <v>111242</v>
      </c>
      <c r="OW45" s="72">
        <v>111243</v>
      </c>
      <c r="OX45" s="72">
        <v>111244</v>
      </c>
      <c r="OY45" s="72">
        <v>111245</v>
      </c>
      <c r="OZ45" s="72">
        <v>111246</v>
      </c>
      <c r="PA45" s="72">
        <v>111247</v>
      </c>
      <c r="PB45" s="72">
        <v>111248</v>
      </c>
      <c r="PC45" s="78">
        <f>IF(AND($N$8=2,$N$20=1),OJ45,IF(AND($N$8=2,$N$20=4),OK45,IF(AND($N$8=2,$N$20=5),OL45,IF(AND($N$8=2,$N$20=11),OM45,IF(AND($N$8=2,$N$20=7),ON45,IF(AND($N$8=2,$N$20=3),OO45,IF(AND($N$8=2,$N$20=6),OP45,IF(AND($N$8=2,$N$20=9),OQ45,IF(AND($N$8=2,$N$20=2),OR45,IF(AND($N$8=2,$N$20=8),OS45,IF(AND($N$8=1,$N$20=1),OT45,IF(AND($N$8=1,$N$20=1),OT45,IF(AND($N$8=1,$N$20=4),OU45,IF(AND($N$8=1,$N$20=5),OV45,IF(AND($N$8=1,$N$20=11),OW45,IF(AND($N$8=1,$N$20=7),OX45,IF(AND($N$8=1,$N$20=3),OY45,IF(AND($N$8=1,$N$20=6),OZ45,IF(AND($N$8=1,$N$20=9),PA45,IF(AND($N$8=1,$N$20=2),PB45,0))))))))))))))))))))</f>
        <v>0</v>
      </c>
      <c r="PD45" s="77">
        <v>111630</v>
      </c>
      <c r="PE45" s="72">
        <v>111631</v>
      </c>
      <c r="PF45" s="72">
        <v>111632</v>
      </c>
      <c r="PG45" s="72">
        <v>111633</v>
      </c>
      <c r="PH45" s="72">
        <v>111634</v>
      </c>
      <c r="PI45" s="72">
        <v>111635</v>
      </c>
      <c r="PJ45" s="72">
        <v>111636</v>
      </c>
      <c r="PK45" s="72">
        <v>111637</v>
      </c>
      <c r="PL45" s="72">
        <v>111638</v>
      </c>
      <c r="PN45" s="72">
        <v>111620</v>
      </c>
      <c r="PO45" s="72">
        <v>111621</v>
      </c>
      <c r="PP45" s="72">
        <v>111622</v>
      </c>
      <c r="PQ45" s="72">
        <v>111623</v>
      </c>
      <c r="PR45" s="72">
        <v>111624</v>
      </c>
      <c r="PS45" s="72">
        <v>111625</v>
      </c>
      <c r="PT45" s="72">
        <v>111626</v>
      </c>
      <c r="PU45" s="72">
        <v>111627</v>
      </c>
      <c r="PV45" s="72">
        <v>111628</v>
      </c>
      <c r="PW45" s="78">
        <f>IF(AND($N$8=2,$N$20=1),PD45,IF(AND($N$8=2,$N$20=4),PE45,IF(AND($N$8=2,$N$20=5),PF45,IF(AND($N$8=2,$N$20=11),PG45,IF(AND($N$8=2,$N$20=7),PH45,IF(AND($N$8=2,$N$20=3),PI45,IF(AND($N$8=2,$N$20=6),PJ45,IF(AND($N$8=2,$N$20=9),PK45,IF(AND($N$8=2,$N$20=2),PL45,IF(AND($N$8=2,$N$20=8),PM45,IF(AND($N$8=1,$N$20=1),PN45,IF(AND($N$8=1,$N$20=1),PN45,IF(AND($N$8=1,$N$20=4),PO45,IF(AND($N$8=1,$N$20=5),PP45,IF(AND($N$8=1,$N$20=11),PQ45,IF(AND($N$8=1,$N$20=7),PR45,IF(AND($N$8=1,$N$20=3),PS45,IF(AND($N$8=1,$N$20=6),PT45,IF(AND($N$8=1,$N$20=9),PU45,IF(AND($N$8=1,$N$20=2),PV45,0))))))))))))))))))))</f>
        <v>0</v>
      </c>
    </row>
    <row r="46" spans="1:439" ht="32.1" customHeight="1">
      <c r="A46" s="164"/>
      <c r="B46" s="137" t="str">
        <f>VLOOKUP("Stk",Sprachindex!A:Z,Info!$O$6,FALSE)</f>
        <v>STK</v>
      </c>
      <c r="C46" s="135"/>
      <c r="D46" s="136">
        <f>IF(OR(J46=Formeln!A51,J46=Formeln!A52,J46=Formeln!A53,J46=Formeln!A83,J46=Formeln!A84,J46=Formeln!A85),AM46,IF(OR(J46=Formeln!A54,J46=Formeln!A55,J46=Formeln!A56,J46=Formeln!A86,J46=Formeln!A87,J46=Formeln!A88),BG46,IF(OR(J46=Formeln!A57,J46=Formeln!A58,J46=Formeln!A59,J46=Formeln!A60,J46=Formeln!A61,J46=Formeln!A89,J46=Formeln!A90,J46=Formeln!A91,J46=Formeln!A92,J46=Formeln!A93),CA46,IF(OR(J46=Formeln!A62,J46=Formeln!A63,J46=Formeln!A64,J46=Formeln!A94,J46=Formeln!A95,J46=Formeln!A96),CU46,IF(OR(J46=Formeln!A65,J46=Formeln!A66,J46=Formeln!A97,J46=Formeln!A98),DO46,IF(OR(J46=Formeln!A67,J46=Formeln!A68,J46=Formeln!A69,J46=Formeln!A70,J46=Formeln!A71,J46=Formeln!A99,J46=Formeln!A100,J46=Formeln!A101,J46=Formeln!A102,J46=Formeln!A103),EI46,IF(OR(J46=Formeln!A72,J46=Formeln!A73,J46=Formeln!A74,J46=Formeln!A104,J46=Formeln!A105,J46=Formeln!A106),FC46,0)))))))</f>
        <v>0</v>
      </c>
      <c r="E46" s="264" t="str">
        <f>VLOOKUP("PREFA Einfassung für Roto-Dachflächenfenster stucco",Sprachindex!A:Z,Info!$O$6,FALSE)</f>
        <v>PREFA Einfassung für Roto-Dachflächenfenster stucco</v>
      </c>
      <c r="F46" s="265"/>
      <c r="G46" s="265"/>
      <c r="H46" s="265"/>
      <c r="I46" s="145" t="str">
        <f>VLOOKUP("Maße:",Sprachindex!A:Z,Info!$O$6,FALSE)</f>
        <v>Maße:</v>
      </c>
      <c r="J46" s="269"/>
      <c r="K46" s="270"/>
      <c r="L46" s="137" t="str">
        <f t="shared" si="0"/>
        <v/>
      </c>
      <c r="M46" s="138"/>
      <c r="O46" s="1"/>
      <c r="P46" s="11"/>
      <c r="Q46" s="11" t="str">
        <f>ROUNDUP(A46/1,0)*1 &amp;" " &amp; VLOOKUP("Stk",Sprachindex!A:Z,Info!$O$6,FALSE)</f>
        <v>0 STK</v>
      </c>
      <c r="T46" s="72">
        <v>111300</v>
      </c>
      <c r="U46" s="72">
        <v>111301</v>
      </c>
      <c r="V46" s="72">
        <v>111302</v>
      </c>
      <c r="W46" s="72">
        <v>111303</v>
      </c>
      <c r="X46" s="72">
        <v>111304</v>
      </c>
      <c r="Y46" s="72">
        <v>111305</v>
      </c>
      <c r="Z46" s="72">
        <v>111306</v>
      </c>
      <c r="AA46" s="72">
        <v>111307</v>
      </c>
      <c r="AB46" s="72">
        <v>111308</v>
      </c>
      <c r="AD46" s="72">
        <v>111310</v>
      </c>
      <c r="AE46" s="72">
        <v>111311</v>
      </c>
      <c r="AF46" s="72">
        <v>111312</v>
      </c>
      <c r="AG46" s="72">
        <v>111313</v>
      </c>
      <c r="AH46" s="72">
        <v>111314</v>
      </c>
      <c r="AI46" s="72">
        <v>111315</v>
      </c>
      <c r="AJ46" s="72">
        <v>111316</v>
      </c>
      <c r="AK46" s="72">
        <v>111317</v>
      </c>
      <c r="AL46" s="72">
        <v>111318</v>
      </c>
      <c r="AM46" s="78">
        <f>IF(AND($N$8=2,$N$20=1),T46,IF(AND($N$8=2,$N$20=4),U46,IF(AND($N$8=2,$N$20=5),V46,IF(AND($N$8=2,$N$20=11),W46,IF(AND($N$8=2,$N$20=7),X46,IF(AND($N$8=2,$N$20=3),Y46,IF(AND($N$8=2,$N$20=6),Z46,IF(AND($N$8=2,$N$20=9),AA46,IF(AND($N$8=2,$N$20=2),AB46,IF(AND($N$8=2,$N$20=8),AC46,IF(AND($N$8=1,$N$20=1),AD46,IF(AND($N$8=1,$N$20=1),AD46,IF(AND($N$8=1,$N$20=4),AE46,IF(AND($N$8=1,$N$20=5),AF46,IF(AND($N$8=1,$N$20=11),AG46,IF(AND($N$8=1,$N$20=7),AH46,IF(AND($N$8=1,$N$20=3),AI46,IF(AND($N$8=1,$N$20=6),AJ46,IF(AND($N$8=1,$N$20=9),AK46,IF(AND($N$8=1,$N$20=2),AL46,0))))))))))))))))))))</f>
        <v>0</v>
      </c>
      <c r="AN46" s="72">
        <v>111320</v>
      </c>
      <c r="AO46" s="72">
        <v>111321</v>
      </c>
      <c r="AP46" s="72">
        <v>111322</v>
      </c>
      <c r="AQ46" s="72">
        <v>111323</v>
      </c>
      <c r="AR46" s="72">
        <v>111324</v>
      </c>
      <c r="AS46" s="72">
        <v>111325</v>
      </c>
      <c r="AT46" s="72">
        <v>111326</v>
      </c>
      <c r="AU46" s="72">
        <v>111327</v>
      </c>
      <c r="AV46" s="72">
        <v>111328</v>
      </c>
      <c r="AX46" s="72">
        <v>111330</v>
      </c>
      <c r="AY46" s="72">
        <v>111331</v>
      </c>
      <c r="AZ46" s="72">
        <v>111332</v>
      </c>
      <c r="BA46" s="72">
        <v>111333</v>
      </c>
      <c r="BB46" s="72">
        <v>111334</v>
      </c>
      <c r="BC46" s="72">
        <v>111335</v>
      </c>
      <c r="BD46" s="72">
        <v>111336</v>
      </c>
      <c r="BE46" s="72">
        <v>111337</v>
      </c>
      <c r="BF46" s="72">
        <v>111338</v>
      </c>
      <c r="BG46" s="78">
        <f>IF(AND($N$8=2,$N$20=1),AN46,IF(AND($N$8=2,$N$20=4),AO46,IF(AND($N$8=2,$N$20=5),AP46,IF(AND($N$8=2,$N$20=11),AQ46,IF(AND($N$8=2,$N$20=7),AR46,IF(AND($N$8=2,$N$20=3),AS46,IF(AND($N$8=2,$N$20=6),AT46,IF(AND($N$8=2,$N$20=9),AU46,IF(AND($N$8=2,$N$20=2),AV46,IF(AND($N$8=2,$N$20=8),AW46,IF(AND($N$8=1,$N$20=1),AX46,IF(AND($N$8=1,$N$20=1),AX46,IF(AND($N$8=1,$N$20=4),AY46,IF(AND($N$8=1,$N$20=5),AZ46,IF(AND($N$8=1,$N$20=11),BA46,IF(AND($N$8=1,$N$20=7),BB46,IF(AND($N$8=1,$N$20=3),BC46,IF(AND($N$8=1,$N$20=6),BD46,IF(AND($N$8=1,$N$20=9),BE46,IF(AND($N$8=1,$N$20=2),BF46,0))))))))))))))))))))</f>
        <v>0</v>
      </c>
      <c r="BH46" s="72">
        <v>111360</v>
      </c>
      <c r="BI46" s="72">
        <v>111361</v>
      </c>
      <c r="BJ46" s="72">
        <v>111362</v>
      </c>
      <c r="BK46" s="72">
        <v>111363</v>
      </c>
      <c r="BL46" s="72">
        <v>111364</v>
      </c>
      <c r="BM46" s="72">
        <v>111365</v>
      </c>
      <c r="BN46" s="72">
        <v>111366</v>
      </c>
      <c r="BO46" s="72">
        <v>111367</v>
      </c>
      <c r="BP46" s="72">
        <v>111368</v>
      </c>
      <c r="BR46" s="72">
        <v>111370</v>
      </c>
      <c r="BS46" s="72">
        <v>111371</v>
      </c>
      <c r="BT46" s="72">
        <v>111372</v>
      </c>
      <c r="BU46" s="72">
        <v>111373</v>
      </c>
      <c r="BV46" s="72">
        <v>111374</v>
      </c>
      <c r="BW46" s="72">
        <v>111375</v>
      </c>
      <c r="BX46" s="72">
        <v>111376</v>
      </c>
      <c r="BY46" s="72">
        <v>111377</v>
      </c>
      <c r="BZ46" s="72">
        <v>111378</v>
      </c>
      <c r="CA46" s="78">
        <f>IF(AND($N$8=2,$N$20=1),BH46,IF(AND($N$8=2,$N$20=4),BI46,IF(AND($N$8=2,$N$20=5),BJ46,IF(AND($N$8=2,$N$20=11),BK46,IF(AND($N$8=2,$N$20=7),BL46,IF(AND($N$8=2,$N$20=3),BM46,IF(AND($N$8=2,$N$20=6),BN46,IF(AND($N$8=2,$N$20=9),BO46,IF(AND($N$8=2,$N$20=2),BP46,IF(AND($N$8=2,$N$20=8),BQ46,IF(AND($N$8=1,$N$20=1),BR46,IF(AND($N$8=1,$N$20=1),BR46,IF(AND($N$8=1,$N$20=4),BS46,IF(AND($N$8=1,$N$20=5),BT46,IF(AND($N$8=1,$N$20=11),BU46,IF(AND($N$8=1,$N$20=7),BV46,IF(AND($N$8=1,$N$20=3),BW46,IF(AND($N$8=1,$N$20=6),BX46,IF(AND($N$8=1,$N$20=9),BY46,IF(AND($N$8=1,$N$20=2),BZ46,0))))))))))))))))))))</f>
        <v>0</v>
      </c>
      <c r="CB46" s="72">
        <v>111380</v>
      </c>
      <c r="CC46" s="72">
        <v>111381</v>
      </c>
      <c r="CD46" s="72">
        <v>111382</v>
      </c>
      <c r="CE46" s="72">
        <v>111383</v>
      </c>
      <c r="CF46" s="72">
        <v>111384</v>
      </c>
      <c r="CG46" s="72">
        <v>111385</v>
      </c>
      <c r="CH46" s="72">
        <v>111386</v>
      </c>
      <c r="CI46" s="72">
        <v>111387</v>
      </c>
      <c r="CJ46" s="72">
        <v>111388</v>
      </c>
      <c r="CL46" s="72">
        <v>111390</v>
      </c>
      <c r="CM46" s="72">
        <v>111391</v>
      </c>
      <c r="CN46" s="72">
        <v>111392</v>
      </c>
      <c r="CO46" s="72">
        <v>111393</v>
      </c>
      <c r="CP46" s="72">
        <v>111394</v>
      </c>
      <c r="CQ46" s="72">
        <v>111395</v>
      </c>
      <c r="CR46" s="72">
        <v>111396</v>
      </c>
      <c r="CS46" s="72">
        <v>111397</v>
      </c>
      <c r="CT46" s="72">
        <v>111398</v>
      </c>
      <c r="CU46" s="78">
        <f>IF(AND($N$8=2,$N$20=1),CB46,IF(AND($N$8=2,$N$20=4),CC46,IF(AND($N$8=2,$N$20=5),CD46,IF(AND($N$8=2,$N$20=11),CE46,IF(AND($N$8=2,$N$20=7),CF46,IF(AND($N$8=2,$N$20=3),CG46,IF(AND($N$8=2,$N$20=6),CH46,IF(AND($N$8=2,$N$20=9),CI46,IF(AND($N$8=2,$N$20=2),CJ46,IF(AND($N$8=2,$N$20=8),CK46,IF(AND($N$8=1,$N$20=1),CL46,IF(AND($N$8=1,$N$20=1),CL46,IF(AND($N$8=1,$N$20=4),CM46,IF(AND($N$8=1,$N$20=5),CN46,IF(AND($N$8=1,$N$20=11),CO46,IF(AND($N$8=1,$N$20=7),CP46,IF(AND($N$8=1,$N$20=3),CQ46,IF(AND($N$8=1,$N$20=6),CR46,IF(AND($N$8=1,$N$20=9),CS46,IF(AND($N$8=1,$N$20=2),CT46,0))))))))))))))))))))</f>
        <v>0</v>
      </c>
      <c r="CV46" s="72">
        <v>111400</v>
      </c>
      <c r="CW46" s="72">
        <v>111401</v>
      </c>
      <c r="CX46" s="72">
        <v>111402</v>
      </c>
      <c r="CY46" s="72">
        <v>111403</v>
      </c>
      <c r="CZ46" s="72">
        <v>111404</v>
      </c>
      <c r="DA46" s="72">
        <v>111405</v>
      </c>
      <c r="DB46" s="72">
        <v>111406</v>
      </c>
      <c r="DC46" s="72">
        <v>111407</v>
      </c>
      <c r="DD46" s="72">
        <v>111408</v>
      </c>
      <c r="DF46" s="72">
        <v>111410</v>
      </c>
      <c r="DG46" s="72">
        <v>111411</v>
      </c>
      <c r="DH46" s="72">
        <v>111412</v>
      </c>
      <c r="DI46" s="72">
        <v>111413</v>
      </c>
      <c r="DJ46" s="72">
        <v>111414</v>
      </c>
      <c r="DK46" s="72">
        <v>111415</v>
      </c>
      <c r="DL46" s="72">
        <v>111416</v>
      </c>
      <c r="DM46" s="72">
        <v>111417</v>
      </c>
      <c r="DN46" s="72">
        <v>111418</v>
      </c>
      <c r="DO46" s="78">
        <f>IF(AND($N$8=2,$N$20=1),CV46,IF(AND($N$8=2,$N$20=4),CW46,IF(AND($N$8=2,$N$20=5),CX46,IF(AND($N$8=2,$N$20=11),CY46,IF(AND($N$8=2,$N$20=7),CZ46,IF(AND($N$8=2,$N$20=3),DA46,IF(AND($N$8=2,$N$20=6),DB46,IF(AND($N$8=2,$N$20=9),DC46,IF(AND($N$8=2,$N$20=2),DD46,IF(AND($N$8=2,$N$20=8),DE46,IF(AND($N$8=1,$N$20=1),DF46,IF(AND($N$8=1,$N$20=1),DF46,IF(AND($N$8=1,$N$20=4),DG46,IF(AND($N$8=1,$N$20=5),DH46,IF(AND($N$8=1,$N$20=11),DI46,IF(AND($N$8=1,$N$20=7),DJ46,IF(AND($N$8=1,$N$20=3),DK46,IF(AND($N$8=1,$N$20=6),DL46,IF(AND($N$8=1,$N$20=9),DM46,IF(AND($N$8=1,$N$20=2),DN46,0))))))))))))))))))))</f>
        <v>0</v>
      </c>
      <c r="DP46" s="72">
        <v>111420</v>
      </c>
      <c r="DQ46" s="72">
        <v>111421</v>
      </c>
      <c r="DR46" s="72">
        <v>111422</v>
      </c>
      <c r="DS46" s="72">
        <v>111423</v>
      </c>
      <c r="DT46" s="72">
        <v>111424</v>
      </c>
      <c r="DU46" s="72">
        <v>111425</v>
      </c>
      <c r="DV46" s="72">
        <v>111426</v>
      </c>
      <c r="DW46" s="72">
        <v>111427</v>
      </c>
      <c r="DX46" s="72">
        <v>111428</v>
      </c>
      <c r="DZ46" s="72">
        <v>111430</v>
      </c>
      <c r="EA46" s="72">
        <v>111431</v>
      </c>
      <c r="EB46" s="72">
        <v>111432</v>
      </c>
      <c r="EC46" s="72">
        <v>111433</v>
      </c>
      <c r="ED46" s="72">
        <v>111434</v>
      </c>
      <c r="EE46" s="72">
        <v>111435</v>
      </c>
      <c r="EF46" s="72">
        <v>111436</v>
      </c>
      <c r="EG46" s="72">
        <v>111437</v>
      </c>
      <c r="EH46" s="72">
        <v>111438</v>
      </c>
      <c r="EI46" s="78">
        <f>IF(AND($N$8=2,$N$20=1),DP46,IF(AND($N$8=2,$N$20=4),DQ46,IF(AND($N$8=2,$N$20=5),DR46,IF(AND($N$8=2,$N$20=11),DS46,IF(AND($N$8=2,$N$20=7),DT46,IF(AND($N$8=2,$N$20=3),DU46,IF(AND($N$8=2,$N$20=6),DV46,IF(AND($N$8=2,$N$20=9),DW46,IF(AND($N$8=2,$N$20=2),DX46,IF(AND($N$8=2,$N$20=8),DY46,IF(AND($N$8=1,$N$20=1),DZ46,IF(AND($N$8=1,$N$20=1),DZ46,IF(AND($N$8=1,$N$20=4),EA46,IF(AND($N$8=1,$N$20=5),EB46,IF(AND($N$8=1,$N$20=11),EC46,IF(AND($N$8=1,$N$20=7),ED46,IF(AND($N$8=1,$N$20=3),EE46,IF(AND($N$8=1,$N$20=6),EF46,IF(AND($N$8=1,$N$20=9),EG46,IF(AND($N$8=1,$N$20=2),EH46,0))))))))))))))))))))</f>
        <v>0</v>
      </c>
      <c r="EJ46" s="72">
        <v>111440</v>
      </c>
      <c r="EK46" s="72">
        <v>111441</v>
      </c>
      <c r="EL46" s="72">
        <v>111442</v>
      </c>
      <c r="EM46" s="72">
        <v>111443</v>
      </c>
      <c r="EN46" s="72">
        <v>111444</v>
      </c>
      <c r="EO46" s="72">
        <v>111445</v>
      </c>
      <c r="EP46" s="72">
        <v>111446</v>
      </c>
      <c r="EQ46" s="72">
        <v>111447</v>
      </c>
      <c r="ER46" s="72">
        <v>111448</v>
      </c>
      <c r="ET46" s="72">
        <v>111450</v>
      </c>
      <c r="EU46" s="72">
        <v>111451</v>
      </c>
      <c r="EV46" s="72">
        <v>111452</v>
      </c>
      <c r="EW46" s="72">
        <v>111453</v>
      </c>
      <c r="EX46" s="72">
        <v>111454</v>
      </c>
      <c r="EY46" s="72">
        <v>111455</v>
      </c>
      <c r="EZ46" s="72">
        <v>111456</v>
      </c>
      <c r="FA46" s="72">
        <v>111457</v>
      </c>
      <c r="FB46" s="72">
        <v>111458</v>
      </c>
      <c r="FC46" s="78">
        <f>IF(AND($N$8=2,$N$20=1),EJ46,IF(AND($N$8=2,$N$20=4),EK46,IF(AND($N$8=2,$N$20=5),EL46,IF(AND($N$8=2,$N$20=11),EM46,IF(AND($N$8=2,$N$20=7),EN46,IF(AND($N$8=2,$N$20=3),EO46,IF(AND($N$8=2,$N$20=6),EP46,IF(AND($N$8=2,$N$20=9),EQ46,IF(AND($N$8=2,$N$20=2),ER46,IF(AND($N$8=2,$N$20=8),ES46,IF(AND($N$8=1,$N$20=1),ET46,IF(AND($N$8=1,$N$20=1),ET46,IF(AND($N$8=1,$N$20=4),EU46,IF(AND($N$8=1,$N$20=5),EV46,IF(AND($N$8=1,$N$20=11),EW46,IF(AND($N$8=1,$N$20=7),EX46,IF(AND($N$8=1,$N$20=3),EY46,IF(AND($N$8=1,$N$20=6),EZ46,IF(AND($N$8=1,$N$20=9),FA46,IF(AND($N$8=1,$N$20=2),FB46,0))))))))))))))))))))</f>
        <v>0</v>
      </c>
      <c r="FW46" s="78"/>
      <c r="GQ46" s="78"/>
      <c r="HK46" s="78"/>
      <c r="IE46" s="78"/>
      <c r="IY46" s="78"/>
      <c r="JS46" s="78"/>
      <c r="KM46" s="78"/>
      <c r="LG46" s="78"/>
      <c r="MA46" s="78"/>
      <c r="MU46" s="78"/>
      <c r="NO46" s="78"/>
      <c r="OI46" s="78"/>
      <c r="PC46" s="78"/>
      <c r="PW46" s="78"/>
    </row>
    <row r="47" spans="1:439" ht="32.1" customHeight="1">
      <c r="A47" s="164"/>
      <c r="B47" s="137" t="str">
        <f>VLOOKUP("Stk",Sprachindex!A:Z,Info!$O$6,FALSE)</f>
        <v>STK</v>
      </c>
      <c r="C47" s="135"/>
      <c r="D47" s="136">
        <f t="shared" ref="D47:D52" si="2">IF($N$20=1,T47,IF($N$20=4,U47,IF($N$20=5,V47,IF($N$20=11,W47,IF($N$20=7,X47,IF($N$20=3,Y47,IF($N$20=6,Z47,IF($N$20=9,AA47,IF($N$20=2,AB47,IF($N$20=8,AC47,0))))))))))</f>
        <v>0</v>
      </c>
      <c r="E47" s="264" t="str">
        <f>VLOOKUP("PREFA Einzeltritt inkl. zwei Fußteilen",Sprachindex!A:Z,Info!$O$6,FALSE)</f>
        <v>PREFA Einzeltritt inkl. zwei Fußteilen</v>
      </c>
      <c r="F47" s="265"/>
      <c r="G47" s="265"/>
      <c r="H47" s="265"/>
      <c r="I47" s="265"/>
      <c r="J47" s="265"/>
      <c r="K47" s="266"/>
      <c r="L47" s="137" t="str">
        <f t="shared" si="0"/>
        <v/>
      </c>
      <c r="M47" s="138"/>
      <c r="O47" s="1"/>
      <c r="P47" s="11"/>
      <c r="Q47" s="11" t="str">
        <f>ROUNDUP(A47/1,0)*1 &amp;" " &amp; VLOOKUP("Stk",Sprachindex!A:Z,Info!$O$6,FALSE)</f>
        <v>0 STK</v>
      </c>
      <c r="T47" s="72">
        <v>120070</v>
      </c>
      <c r="U47" s="72">
        <v>120071</v>
      </c>
      <c r="V47" s="72">
        <v>120072</v>
      </c>
      <c r="W47" s="72">
        <v>120073</v>
      </c>
      <c r="X47" s="72">
        <v>120074</v>
      </c>
      <c r="Y47" s="72">
        <v>120075</v>
      </c>
      <c r="Z47" s="72">
        <v>120076</v>
      </c>
      <c r="AA47" s="72">
        <v>120077</v>
      </c>
      <c r="AB47" s="72">
        <v>120078</v>
      </c>
      <c r="AC47" s="72">
        <v>649020</v>
      </c>
    </row>
    <row r="48" spans="1:439" ht="32.1" customHeight="1">
      <c r="A48" s="164"/>
      <c r="B48" s="137" t="str">
        <f>VLOOKUP("Stk",Sprachindex!A:Z,Info!$O$6,FALSE)</f>
        <v>STK</v>
      </c>
      <c r="C48" s="135"/>
      <c r="D48" s="136">
        <f t="shared" si="2"/>
        <v>0</v>
      </c>
      <c r="E48" s="264" t="str">
        <f>VLOOKUP("PREFA Laufstegstütze verzinkt für Laufstege",Sprachindex!A:Z,Info!$O$6,FALSE)</f>
        <v>PREFA Laufstegstütze verzinkt für Laufstege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38"/>
      <c r="O48" s="1"/>
      <c r="P48" s="11"/>
      <c r="Q48" s="11" t="str">
        <f>ROUNDUP(A48/1,0)*1 &amp;" " &amp; VLOOKUP("Stk",Sprachindex!A:Z,Info!$O$6,FALSE)</f>
        <v>0 STK</v>
      </c>
      <c r="T48" s="72">
        <v>120040</v>
      </c>
      <c r="U48" s="72">
        <v>120041</v>
      </c>
      <c r="V48" s="72">
        <v>120042</v>
      </c>
      <c r="W48" s="72">
        <v>120043</v>
      </c>
      <c r="X48" s="72">
        <v>120044</v>
      </c>
      <c r="Y48" s="72">
        <v>120045</v>
      </c>
      <c r="Z48" s="72">
        <v>120046</v>
      </c>
      <c r="AA48" s="72">
        <v>120047</v>
      </c>
      <c r="AB48" s="72">
        <v>120048</v>
      </c>
      <c r="AC48" s="72">
        <v>649220</v>
      </c>
    </row>
    <row r="49" spans="1:39" ht="32.1" customHeight="1">
      <c r="A49" s="164"/>
      <c r="B49" s="137" t="str">
        <f>VLOOKUP("Stk",Sprachindex!A:Z,Info!$O$6,FALSE)</f>
        <v>STK</v>
      </c>
      <c r="C49" s="135"/>
      <c r="D49" s="136">
        <f t="shared" si="2"/>
        <v>0</v>
      </c>
      <c r="E49" s="264" t="str">
        <f>VLOOKUP("PREFA Laufsteg (250 x 1.200 mm)",Sprachindex!A:Z,Info!$O$6,FALSE)</f>
        <v>PREFA Laufsteg (250 x 1.200 mm)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38"/>
      <c r="O49" s="1"/>
      <c r="P49" s="11"/>
      <c r="Q49" s="11" t="str">
        <f>ROUNDUP(A49/1,0)*1 &amp;" " &amp; VLOOKUP("Stk",Sprachindex!A:Z,Info!$O$6,FALSE)</f>
        <v>0 STK</v>
      </c>
      <c r="T49" s="72">
        <v>120030</v>
      </c>
      <c r="U49" s="72">
        <v>120031</v>
      </c>
      <c r="V49" s="72">
        <v>120032</v>
      </c>
      <c r="W49" s="72">
        <v>120033</v>
      </c>
      <c r="X49" s="72">
        <v>120034</v>
      </c>
      <c r="Y49" s="72">
        <v>120035</v>
      </c>
      <c r="Z49" s="72">
        <v>120036</v>
      </c>
      <c r="AA49" s="72">
        <v>120037</v>
      </c>
      <c r="AB49" s="72">
        <v>120038</v>
      </c>
      <c r="AC49" s="72">
        <v>649221</v>
      </c>
    </row>
    <row r="50" spans="1:39" ht="32.1" customHeight="1">
      <c r="A50" s="164"/>
      <c r="B50" s="137" t="str">
        <f>VLOOKUP("Stk",Sprachindex!A:Z,Info!$O$6,FALSE)</f>
        <v>STK</v>
      </c>
      <c r="C50" s="135"/>
      <c r="D50" s="136">
        <f t="shared" si="2"/>
        <v>0</v>
      </c>
      <c r="E50" s="264" t="str">
        <f>VLOOKUP("PREFA Laufsteg (250 x 800 mm)",Sprachindex!A:Z,Info!$O$6,FALSE)</f>
        <v>PREFA Laufsteg (250 x 800 mm)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38"/>
      <c r="O50" s="1"/>
      <c r="P50" s="11"/>
      <c r="Q50" s="11" t="str">
        <f>ROUNDUP(A50/1,0)*1 &amp;" " &amp; VLOOKUP("Stk",Sprachindex!A:Z,Info!$O$6,FALSE)</f>
        <v>0 STK</v>
      </c>
      <c r="T50" s="72">
        <v>120020</v>
      </c>
      <c r="U50" s="72">
        <v>120021</v>
      </c>
      <c r="V50" s="72">
        <v>120022</v>
      </c>
      <c r="W50" s="72">
        <v>120023</v>
      </c>
      <c r="X50" s="72">
        <v>120024</v>
      </c>
      <c r="Y50" s="72">
        <v>120025</v>
      </c>
      <c r="Z50" s="72">
        <v>120026</v>
      </c>
      <c r="AA50" s="72">
        <v>120027</v>
      </c>
      <c r="AB50" s="72">
        <v>120028</v>
      </c>
      <c r="AC50" s="72">
        <v>649050</v>
      </c>
    </row>
    <row r="51" spans="1:39" ht="32.1" customHeight="1">
      <c r="A51" s="164"/>
      <c r="B51" s="137" t="str">
        <f>VLOOKUP("Stk",Sprachindex!A:Z,Info!$O$6,FALSE)</f>
        <v>STK</v>
      </c>
      <c r="C51" s="135"/>
      <c r="D51" s="136">
        <f t="shared" si="2"/>
        <v>0</v>
      </c>
      <c r="E51" s="264" t="str">
        <f>VLOOKUP("PREFA Laufsteg (250 x 600 mm)",Sprachindex!A:Z,Info!$O$6,FALSE)</f>
        <v>PREFA Laufsteg (250 x 600 mm)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38"/>
      <c r="O51" s="1"/>
      <c r="P51" s="11"/>
      <c r="Q51" s="11" t="str">
        <f>ROUNDUP(A51/1,0)*1 &amp;" " &amp; VLOOKUP("Stk",Sprachindex!A:Z,Info!$O$6,FALSE)</f>
        <v>0 STK</v>
      </c>
      <c r="T51" s="72">
        <v>120060</v>
      </c>
      <c r="U51" s="72">
        <v>120061</v>
      </c>
      <c r="V51" s="72">
        <v>120062</v>
      </c>
      <c r="W51" s="72">
        <v>120063</v>
      </c>
      <c r="X51" s="72">
        <v>120064</v>
      </c>
      <c r="Y51" s="72">
        <v>120065</v>
      </c>
      <c r="Z51" s="72">
        <v>120066</v>
      </c>
      <c r="AA51" s="72">
        <v>120067</v>
      </c>
      <c r="AB51" s="72">
        <v>120068</v>
      </c>
      <c r="AC51" s="72">
        <v>649070</v>
      </c>
    </row>
    <row r="52" spans="1:39" ht="32.1" customHeight="1">
      <c r="A52" s="164"/>
      <c r="B52" s="137" t="str">
        <f>VLOOKUP("Stk",Sprachindex!A:Z,Info!$O$6,FALSE)</f>
        <v>STK</v>
      </c>
      <c r="C52" s="135"/>
      <c r="D52" s="136">
        <f t="shared" si="2"/>
        <v>0</v>
      </c>
      <c r="E52" s="264" t="str">
        <f>VLOOKUP("PREFA Laufsteg (250 x 420 mm)",Sprachindex!A:Z,Info!$O$6,FALSE)</f>
        <v>PREFA Laufsteg (250 x 420 mm)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38"/>
      <c r="O52" s="1"/>
      <c r="P52" s="11"/>
      <c r="Q52" s="11" t="str">
        <f>ROUNDUP(A52/1,0)*1 &amp;" " &amp; VLOOKUP("Stk",Sprachindex!A:Z,Info!$O$6,FALSE)</f>
        <v>0 STK</v>
      </c>
      <c r="T52" s="72">
        <v>120010</v>
      </c>
      <c r="U52" s="72">
        <v>120011</v>
      </c>
      <c r="V52" s="72">
        <v>120012</v>
      </c>
      <c r="W52" s="72">
        <v>120013</v>
      </c>
      <c r="X52" s="72">
        <v>120014</v>
      </c>
      <c r="Y52" s="72">
        <v>120015</v>
      </c>
      <c r="Z52" s="72">
        <v>120016</v>
      </c>
      <c r="AA52" s="72">
        <v>120017</v>
      </c>
      <c r="AB52" s="72">
        <v>120018</v>
      </c>
      <c r="AC52" s="72">
        <v>649030</v>
      </c>
    </row>
    <row r="53" spans="1:39" ht="32.1" customHeight="1">
      <c r="A53" s="164"/>
      <c r="B53" s="137" t="str">
        <f>VLOOKUP("Stk",Sprachindex!A:Z,Info!$O$6,FALSE)</f>
        <v>STK</v>
      </c>
      <c r="C53" s="135"/>
      <c r="D53" s="142">
        <v>649001</v>
      </c>
      <c r="E53" s="264" t="str">
        <f>VLOOKUP("PREFA Verbinder verzinkt für Laufsteg",Sprachindex!A:Z,Info!$O$6,FALSE)</f>
        <v>PREFA Verbinder verzinkt für Laufsteg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38"/>
      <c r="O53" s="1"/>
      <c r="P53" s="11"/>
      <c r="Q53" s="11" t="str">
        <f>ROUNDUP(A53/1,0)*1 &amp;" " &amp; VLOOKUP("Stk",Sprachindex!A:Z,Info!$O$6,FALSE)</f>
        <v>0 STK</v>
      </c>
      <c r="T53" s="75" t="s">
        <v>1554</v>
      </c>
      <c r="U53" s="75" t="s">
        <v>1555</v>
      </c>
      <c r="V53" s="75" t="s">
        <v>1556</v>
      </c>
      <c r="W53" s="75" t="s">
        <v>1557</v>
      </c>
      <c r="X53" s="75" t="s">
        <v>1558</v>
      </c>
      <c r="Y53" s="75" t="s">
        <v>1559</v>
      </c>
      <c r="Z53" s="75" t="s">
        <v>1560</v>
      </c>
      <c r="AA53" s="75" t="s">
        <v>1561</v>
      </c>
      <c r="AB53" s="75" t="s">
        <v>1562</v>
      </c>
      <c r="AC53" s="75" t="s">
        <v>1563</v>
      </c>
      <c r="AD53" s="75" t="s">
        <v>1554</v>
      </c>
      <c r="AE53" s="75" t="s">
        <v>1555</v>
      </c>
      <c r="AF53" s="75" t="s">
        <v>1556</v>
      </c>
      <c r="AG53" s="75" t="s">
        <v>1557</v>
      </c>
      <c r="AH53" s="75" t="s">
        <v>1558</v>
      </c>
      <c r="AI53" s="75" t="s">
        <v>1559</v>
      </c>
      <c r="AJ53" s="75" t="s">
        <v>1560</v>
      </c>
      <c r="AK53" s="75" t="s">
        <v>1561</v>
      </c>
      <c r="AL53" s="75" t="s">
        <v>1562</v>
      </c>
      <c r="AM53" s="75" t="s">
        <v>1563</v>
      </c>
    </row>
    <row r="54" spans="1:39" ht="32.1" customHeight="1">
      <c r="A54" s="164"/>
      <c r="B54" s="137" t="str">
        <f>VLOOKUP("Stk",Sprachindex!A:Z,Info!$O$6,FALSE)</f>
        <v>STK</v>
      </c>
      <c r="C54" s="146"/>
      <c r="D54" s="142">
        <v>635661</v>
      </c>
      <c r="E54" s="264" t="str">
        <f>VLOOKUP("PREFA Dach-Sicherheitshaken nach EN 517B auf Fussteilen",Sprachindex!A:Z,Info!$O$6,FALSE)</f>
        <v>PREFA Dach-Sicherheitshaken nach EN 517B auf Fussteilen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47"/>
      <c r="O54" s="1"/>
      <c r="P54" s="11"/>
      <c r="Q54" s="11" t="str">
        <f>ROUNDUP(A54/1,0)*1 &amp;" " &amp; VLOOKUP("Stk",Sprachindex!A:Z,Info!$O$6,FALSE)</f>
        <v>0 STK</v>
      </c>
    </row>
    <row r="55" spans="1:39" ht="32.1" customHeight="1">
      <c r="A55" s="164"/>
      <c r="B55" s="137" t="str">
        <f>VLOOKUP("Stk",Sprachindex!A:Z,Info!$O$6,FALSE)</f>
        <v>STK</v>
      </c>
      <c r="C55" s="146"/>
      <c r="D55" s="136">
        <f t="shared" ref="D55:D60" si="3">IF($N$20=1,T55,IF($N$20=4,U55,IF($N$20=5,V55,IF($N$20=11,W55,IF($N$20=7,X55,IF($N$20=3,Y55,IF($N$20=6,Z55,IF($N$20=9,AA55,IF($N$20=2,AB55,IF($N$20=8,AC55,0))))))))))</f>
        <v>0</v>
      </c>
      <c r="E55" s="264" t="str">
        <f>VLOOKUP("PREFA Dach-Sicherheitshaken nach EN 517B",Sprachindex!A:Z,Info!$O$6,FALSE)</f>
        <v>PREFA Dach-Sicherheitshaken nach EN 517B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47"/>
      <c r="O55" s="1"/>
      <c r="P55" s="11"/>
      <c r="Q55" s="11" t="str">
        <f>ROUNDUP(A55/1,0)*1 &amp;" " &amp; VLOOKUP("Stk",Sprachindex!A:Z,Info!$O$6,FALSE)</f>
        <v>0 STK</v>
      </c>
      <c r="T55" s="72">
        <v>120000</v>
      </c>
      <c r="U55" s="72">
        <v>120001</v>
      </c>
      <c r="V55" s="72">
        <v>120002</v>
      </c>
      <c r="W55" s="72">
        <v>120003</v>
      </c>
      <c r="X55" s="72">
        <v>120004</v>
      </c>
      <c r="Y55" s="72">
        <v>120005</v>
      </c>
      <c r="Z55" s="72">
        <v>120006</v>
      </c>
      <c r="AA55" s="72">
        <v>120007</v>
      </c>
      <c r="AB55" s="72">
        <v>120008</v>
      </c>
      <c r="AC55" s="72">
        <v>635550</v>
      </c>
    </row>
    <row r="56" spans="1:39" ht="32.1" customHeight="1">
      <c r="A56" s="164"/>
      <c r="B56" s="137" t="str">
        <f>VLOOKUP("Stk",Sprachindex!A:Z,Info!$O$6,FALSE)</f>
        <v>STK</v>
      </c>
      <c r="C56" s="146"/>
      <c r="D56" s="136">
        <f t="shared" si="3"/>
        <v>0</v>
      </c>
      <c r="E56" s="264" t="str">
        <f>VLOOKUP("PREFA Einfassungsplatte für Dachraute 29 × 29, glatt, ⌀ 80–125 mm",Sprachindex!A:Z,Info!$O$6,FALSE)</f>
        <v>PREFA Einfassungsplatte für Dachraute 29 × 29, glatt, ⌀ 80–125 mm</v>
      </c>
      <c r="F56" s="265"/>
      <c r="G56" s="265"/>
      <c r="H56" s="265"/>
      <c r="I56" s="265"/>
      <c r="J56" s="265"/>
      <c r="K56" s="266"/>
      <c r="L56" s="137" t="str">
        <f t="shared" ref="L56:L83" si="4">IF(A56=0,"",IF($N$10=1,P56,Q56))</f>
        <v/>
      </c>
      <c r="M56" s="147"/>
      <c r="O56" s="1"/>
      <c r="P56" s="11"/>
      <c r="Q56" s="11" t="str">
        <f>ROUNDUP(A56/1,0)*1 &amp;" " &amp; VLOOKUP("Stk",Sprachindex!A:Z,Info!$O$6,FALSE)</f>
        <v>0 STK</v>
      </c>
      <c r="T56" s="72">
        <v>110250</v>
      </c>
      <c r="U56" s="72">
        <v>110251</v>
      </c>
      <c r="V56" s="72">
        <v>110252</v>
      </c>
      <c r="W56" s="72">
        <v>110253</v>
      </c>
      <c r="X56" s="72">
        <v>110254</v>
      </c>
      <c r="Y56" s="72">
        <v>110255</v>
      </c>
      <c r="Z56" s="72">
        <v>110256</v>
      </c>
      <c r="AA56" s="72">
        <v>110257</v>
      </c>
      <c r="AB56" s="72">
        <v>110258</v>
      </c>
      <c r="AC56" s="72">
        <v>513099</v>
      </c>
    </row>
    <row r="57" spans="1:39" ht="32.1" customHeight="1">
      <c r="A57" s="164"/>
      <c r="B57" s="137" t="str">
        <f>VLOOKUP("Stk",Sprachindex!A:Z,Info!$O$6,FALSE)</f>
        <v>STK</v>
      </c>
      <c r="C57" s="146"/>
      <c r="D57" s="136">
        <f t="shared" si="3"/>
        <v>0</v>
      </c>
      <c r="E57" s="264" t="str">
        <f>VLOOKUP("PREFA Universaleinfassung 2-teilig, glatt, Ø 40 - 120 mm",Sprachindex!A:Z,Info!$O$6,FALSE)</f>
        <v>PREFA Universaleinfassung 2-teilig, glatt, Ø 40 - 120 mm</v>
      </c>
      <c r="F57" s="265"/>
      <c r="G57" s="265"/>
      <c r="H57" s="265"/>
      <c r="I57" s="265"/>
      <c r="J57" s="265"/>
      <c r="K57" s="266"/>
      <c r="L57" s="137" t="str">
        <f t="shared" si="4"/>
        <v/>
      </c>
      <c r="M57" s="147"/>
      <c r="O57" s="1"/>
      <c r="P57" s="11"/>
      <c r="Q57" s="11" t="str">
        <f>ROUNDUP(A57/1,0)*1 &amp;" " &amp; VLOOKUP("Stk",Sprachindex!A:Z,Info!$O$6,FALSE)</f>
        <v>0 STK</v>
      </c>
      <c r="T57" s="72">
        <v>110240</v>
      </c>
      <c r="U57" s="72">
        <v>110241</v>
      </c>
      <c r="V57" s="72">
        <v>110242</v>
      </c>
      <c r="W57" s="72">
        <v>110243</v>
      </c>
      <c r="X57" s="72">
        <v>110244</v>
      </c>
      <c r="Y57" s="72">
        <v>110245</v>
      </c>
      <c r="Z57" s="72">
        <v>110246</v>
      </c>
      <c r="AA57" s="72">
        <v>110247</v>
      </c>
      <c r="AB57" s="72">
        <v>110248</v>
      </c>
      <c r="AC57" s="72">
        <v>513032</v>
      </c>
    </row>
    <row r="58" spans="1:39" ht="32.1" customHeight="1">
      <c r="A58" s="164"/>
      <c r="B58" s="137" t="str">
        <f>VLOOKUP("Stk",Sprachindex!A:Z,Info!$O$6,FALSE)</f>
        <v>STK</v>
      </c>
      <c r="C58" s="146"/>
      <c r="D58" s="136">
        <f t="shared" si="3"/>
        <v>0</v>
      </c>
      <c r="E58" s="264" t="str">
        <f>VLOOKUP("PREFA Entlüftungshaube Ø 100, glatt",Sprachindex!A:Z,Info!$O$6,FALSE)</f>
        <v>PREFA Entlüftungshaube Ø 100, glatt</v>
      </c>
      <c r="F58" s="265"/>
      <c r="G58" s="265"/>
      <c r="H58" s="265"/>
      <c r="I58" s="265"/>
      <c r="J58" s="265"/>
      <c r="K58" s="266"/>
      <c r="L58" s="137" t="str">
        <f t="shared" si="4"/>
        <v/>
      </c>
      <c r="M58" s="147"/>
      <c r="O58" s="1"/>
      <c r="P58" s="11"/>
      <c r="Q58" s="11" t="str">
        <f>ROUNDUP(A58/1,0)*1 &amp;" " &amp; VLOOKUP("Stk",Sprachindex!A:Z,Info!$O$6,FALSE)</f>
        <v>0 STK</v>
      </c>
      <c r="T58" s="72">
        <v>110280</v>
      </c>
      <c r="U58" s="72">
        <v>110281</v>
      </c>
      <c r="V58" s="72">
        <v>110282</v>
      </c>
      <c r="W58" s="72">
        <v>110283</v>
      </c>
      <c r="X58" s="72">
        <v>110284</v>
      </c>
      <c r="Y58" s="72">
        <v>110285</v>
      </c>
      <c r="Z58" s="72">
        <v>110286</v>
      </c>
      <c r="AA58" s="72">
        <v>110287</v>
      </c>
      <c r="AB58" s="72">
        <v>110288</v>
      </c>
      <c r="AC58" s="72">
        <v>513006</v>
      </c>
    </row>
    <row r="59" spans="1:39" ht="32.1" customHeight="1">
      <c r="A59" s="164"/>
      <c r="B59" s="137" t="str">
        <f>VLOOKUP("Stk",Sprachindex!A:Z,Info!$O$6,FALSE)</f>
        <v>STK</v>
      </c>
      <c r="C59" s="146"/>
      <c r="D59" s="136">
        <f t="shared" si="3"/>
        <v>0</v>
      </c>
      <c r="E59" s="264" t="str">
        <f>VLOOKUP("PREFA Entlüftungsrohr ⌀ 100, passend für HT-Rohr NW 110",Sprachindex!A:Z,Info!$O$6,FALSE)</f>
        <v>PREFA Entlüftungsrohr ⌀ 100, passend für HT-Rohr NW 110</v>
      </c>
      <c r="F59" s="265"/>
      <c r="G59" s="265"/>
      <c r="H59" s="265"/>
      <c r="I59" s="265"/>
      <c r="J59" s="265"/>
      <c r="K59" s="266"/>
      <c r="L59" s="137" t="str">
        <f t="shared" si="4"/>
        <v/>
      </c>
      <c r="M59" s="147"/>
      <c r="O59" s="1"/>
      <c r="P59" s="11"/>
      <c r="Q59" s="11" t="str">
        <f>ROUNDUP(A59/1,0)*1 &amp;" " &amp; VLOOKUP("Stk",Sprachindex!A:Z,Info!$O$6,FALSE)</f>
        <v>0 STK</v>
      </c>
      <c r="T59" s="72">
        <v>110200</v>
      </c>
      <c r="U59" s="72">
        <v>110201</v>
      </c>
      <c r="V59" s="72">
        <v>110202</v>
      </c>
      <c r="W59" s="72">
        <v>110203</v>
      </c>
      <c r="X59" s="72">
        <v>110204</v>
      </c>
      <c r="Y59" s="72">
        <v>110205</v>
      </c>
      <c r="Z59" s="72">
        <v>110206</v>
      </c>
      <c r="AA59" s="72">
        <v>110207</v>
      </c>
      <c r="AB59" s="72">
        <v>110208</v>
      </c>
      <c r="AC59" s="72">
        <v>513029</v>
      </c>
    </row>
    <row r="60" spans="1:39" ht="32.1" customHeight="1">
      <c r="A60" s="164"/>
      <c r="B60" s="137" t="str">
        <f>VLOOKUP("Stk",Sprachindex!A:Z,Info!$O$6,FALSE)</f>
        <v>STK</v>
      </c>
      <c r="C60" s="146"/>
      <c r="D60" s="136">
        <f t="shared" si="3"/>
        <v>0</v>
      </c>
      <c r="E60" s="264" t="str">
        <f>VLOOKUP("PREFA Entlüftungsrohr ⌀ 120, passend für HT-Rohr NW 125",Sprachindex!A:Z,Info!$O$6,FALSE)</f>
        <v>PREFA Entlüftungsrohr ⌀ 120, passend für HT-Rohr NW 125</v>
      </c>
      <c r="F60" s="265"/>
      <c r="G60" s="265"/>
      <c r="H60" s="265"/>
      <c r="I60" s="265"/>
      <c r="J60" s="265"/>
      <c r="K60" s="266"/>
      <c r="L60" s="137" t="str">
        <f t="shared" si="4"/>
        <v/>
      </c>
      <c r="M60" s="147"/>
      <c r="O60" s="1"/>
      <c r="P60" s="11"/>
      <c r="Q60" s="11" t="str">
        <f>ROUNDUP(A60/1,0)*1 &amp;" " &amp; VLOOKUP("Stk",Sprachindex!A:Z,Info!$O$6,FALSE)</f>
        <v>0 STK</v>
      </c>
      <c r="T60" s="72">
        <v>110210</v>
      </c>
      <c r="U60" s="72">
        <v>110211</v>
      </c>
      <c r="V60" s="72">
        <v>110212</v>
      </c>
      <c r="W60" s="72">
        <v>110213</v>
      </c>
      <c r="X60" s="72">
        <v>110214</v>
      </c>
      <c r="Y60" s="72">
        <v>110215</v>
      </c>
      <c r="Z60" s="72">
        <v>110216</v>
      </c>
      <c r="AA60" s="72">
        <v>110217</v>
      </c>
      <c r="AB60" s="72">
        <v>110218</v>
      </c>
      <c r="AC60" s="72">
        <v>513083</v>
      </c>
    </row>
    <row r="61" spans="1:39" ht="32.1" customHeight="1">
      <c r="A61" s="164"/>
      <c r="B61" s="137" t="str">
        <f>VLOOKUP("Stk",Sprachindex!A:Z,Info!$O$6,FALSE)</f>
        <v>STK</v>
      </c>
      <c r="C61" s="146"/>
      <c r="D61" s="142">
        <v>340943</v>
      </c>
      <c r="E61" s="264" t="str">
        <f>VLOOKUP("PREFA Faltmanschette Ø 100-130",Sprachindex!A:Z,Info!$O$6,FALSE)</f>
        <v>PREFA Faltmanschette Ø 100-130</v>
      </c>
      <c r="F61" s="265"/>
      <c r="G61" s="265"/>
      <c r="H61" s="265"/>
      <c r="I61" s="265"/>
      <c r="J61" s="265"/>
      <c r="K61" s="266"/>
      <c r="L61" s="137" t="str">
        <f t="shared" si="4"/>
        <v/>
      </c>
      <c r="M61" s="147"/>
      <c r="O61" s="1"/>
      <c r="P61" s="11"/>
      <c r="Q61" s="11" t="str">
        <f>ROUNDUP(A61/1,0)*1 &amp;" " &amp; VLOOKUP("Stk",Sprachindex!A:Z,Info!$O$6,FALSE)</f>
        <v>0 STK</v>
      </c>
      <c r="T61" s="75" t="s">
        <v>1554</v>
      </c>
      <c r="U61" s="75" t="s">
        <v>1555</v>
      </c>
      <c r="V61" s="75" t="s">
        <v>1556</v>
      </c>
      <c r="W61" s="75" t="s">
        <v>1557</v>
      </c>
      <c r="X61" s="75" t="s">
        <v>1558</v>
      </c>
      <c r="Y61" s="75" t="s">
        <v>1559</v>
      </c>
      <c r="Z61" s="75" t="s">
        <v>1560</v>
      </c>
      <c r="AA61" s="75" t="s">
        <v>1561</v>
      </c>
      <c r="AB61" s="75" t="s">
        <v>1562</v>
      </c>
      <c r="AC61" s="75" t="s">
        <v>1563</v>
      </c>
      <c r="AD61" s="75" t="s">
        <v>1554</v>
      </c>
      <c r="AE61" s="75" t="s">
        <v>1555</v>
      </c>
      <c r="AF61" s="75" t="s">
        <v>1556</v>
      </c>
      <c r="AG61" s="75" t="s">
        <v>1557</v>
      </c>
      <c r="AH61" s="75" t="s">
        <v>1558</v>
      </c>
      <c r="AI61" s="75" t="s">
        <v>1559</v>
      </c>
      <c r="AJ61" s="75" t="s">
        <v>1560</v>
      </c>
      <c r="AK61" s="75" t="s">
        <v>1561</v>
      </c>
      <c r="AL61" s="75" t="s">
        <v>1562</v>
      </c>
      <c r="AM61" s="75" t="s">
        <v>1563</v>
      </c>
    </row>
    <row r="62" spans="1:39" ht="32.1" customHeight="1">
      <c r="A62" s="164"/>
      <c r="B62" s="137" t="str">
        <f>VLOOKUP("Stk",Sprachindex!A:Z,Info!$O$6,FALSE)</f>
        <v>STK</v>
      </c>
      <c r="C62" s="146"/>
      <c r="D62" s="136">
        <f t="shared" ref="D62" si="5">IF(AND($N$8=2,$N$20=1),T62,IF(AND($N$8=2,$N$20=4),U62,IF(AND($N$8=2,$N$20=5),V62,IF(AND($N$8=2,$N$20=11),W62,IF(AND($N$8=2,$N$20=7),X62,IF(AND($N$8=2,$N$20=3),Y62,IF(AND($N$8=2,$N$20=6),Z62,IF(AND($N$8=2,$N$20=9),AA62,IF(AND($N$8=2,$N$20=2),AB62,IF(AND($N$8=2,$N$20=8),AC62,IF(AND($N$8=1,$N$20=1),AD62,IF(AND($N$8=1,$N$20=1),AD62,IF(AND($N$8=1,$N$20=4),AE62,IF(AND($N$8=1,$N$20=5),AF62,IF(AND($N$8=1,$N$20=11),AG62,IF(AND($N$8=1,$N$20=7),AH62,IF(AND($N$8=1,$N$20=3),AI62,IF(AND($N$8=1,$N$20=6),AJ62,IF(AND($N$8=1,$N$20=9),AK62,IF(AND($N$8=1,$N$20=2),AL62,IF(AND($N$8=1,$N$20=8),AM62,0)))))))))))))))))))))</f>
        <v>0</v>
      </c>
      <c r="E62" s="264" t="str">
        <f>VLOOKUP("PREFA Unterlagsplatte L=540 x B=125 mm, stucco",Sprachindex!A:Z,Info!$O$6,FALSE)</f>
        <v>PREFA Unterlagsplatte L=540 x B=125 mm, stucco</v>
      </c>
      <c r="F62" s="265"/>
      <c r="G62" s="265"/>
      <c r="H62" s="265"/>
      <c r="I62" s="265"/>
      <c r="J62" s="265"/>
      <c r="K62" s="266"/>
      <c r="L62" s="137" t="str">
        <f t="shared" si="4"/>
        <v/>
      </c>
      <c r="M62" s="147"/>
      <c r="O62" s="1"/>
      <c r="P62" s="11"/>
      <c r="Q62" s="11" t="str">
        <f>ROUNDUP(A62/1,0)*1 &amp;" " &amp; VLOOKUP("Stk",Sprachindex!A:Z,Info!$O$6,FALSE)</f>
        <v>0 STK</v>
      </c>
      <c r="T62" s="72">
        <v>110360</v>
      </c>
      <c r="U62" s="72">
        <v>110361</v>
      </c>
      <c r="V62" s="72">
        <v>110362</v>
      </c>
      <c r="W62" s="72">
        <v>110363</v>
      </c>
      <c r="X62" s="72">
        <v>110364</v>
      </c>
      <c r="Y62" s="72">
        <v>110365</v>
      </c>
      <c r="Z62" s="72">
        <v>110366</v>
      </c>
      <c r="AA62" s="72">
        <v>110367</v>
      </c>
      <c r="AB62" s="72">
        <v>110368</v>
      </c>
      <c r="AD62" s="72">
        <v>110370</v>
      </c>
      <c r="AE62" s="72">
        <v>110371</v>
      </c>
      <c r="AF62" s="72">
        <v>110372</v>
      </c>
      <c r="AG62" s="72">
        <v>110373</v>
      </c>
      <c r="AH62" s="72">
        <v>110374</v>
      </c>
      <c r="AI62" s="72">
        <v>110375</v>
      </c>
      <c r="AJ62" s="72">
        <v>110376</v>
      </c>
      <c r="AK62" s="72">
        <v>110377</v>
      </c>
      <c r="AL62" s="72">
        <v>110378</v>
      </c>
    </row>
    <row r="63" spans="1:39" ht="32.1" customHeight="1">
      <c r="A63" s="164"/>
      <c r="B63" s="137" t="str">
        <f>VLOOKUP("Stk",Sprachindex!A:Z,Info!$O$6,FALSE)</f>
        <v>STK</v>
      </c>
      <c r="C63" s="146"/>
      <c r="D63" s="136">
        <f t="shared" ref="D63:D79" si="6">IF($N$20=1,T63,IF($N$20=4,U63,IF($N$20=5,V63,IF($N$20=11,W63,IF($N$20=7,X63,IF($N$20=3,Y63,IF($N$20=6,Z63,IF($N$20=9,AA63,IF($N$20=2,AB63,IF($N$20=8,AC63,0))))))))))</f>
        <v>0</v>
      </c>
      <c r="E63" s="264" t="str">
        <f>VLOOKUP("PREFA Schneestopper für Dachraute 29 × 29",Sprachindex!A:Z,Info!$O$6,FALSE)</f>
        <v>PREFA Schneestopper für Dachraute 29 × 29</v>
      </c>
      <c r="F63" s="265"/>
      <c r="G63" s="265"/>
      <c r="H63" s="265"/>
      <c r="I63" s="265"/>
      <c r="J63" s="265"/>
      <c r="K63" s="266"/>
      <c r="L63" s="137" t="str">
        <f t="shared" si="4"/>
        <v/>
      </c>
      <c r="M63" s="147"/>
      <c r="O63" s="1"/>
      <c r="P63" s="11"/>
      <c r="Q63" s="11" t="str">
        <f>ROUNDUP(A63/1,0)*1 &amp;" " &amp; VLOOKUP("Stk",Sprachindex!A:Z,Info!$O$6,FALSE)</f>
        <v>0 STK</v>
      </c>
      <c r="T63" s="72">
        <v>110300</v>
      </c>
      <c r="U63" s="72">
        <v>110301</v>
      </c>
      <c r="V63" s="72">
        <v>110302</v>
      </c>
      <c r="W63" s="72">
        <v>110303</v>
      </c>
      <c r="X63" s="72">
        <v>110304</v>
      </c>
      <c r="Y63" s="72">
        <v>110305</v>
      </c>
      <c r="Z63" s="72">
        <v>110306</v>
      </c>
      <c r="AA63" s="72">
        <v>110307</v>
      </c>
      <c r="AB63" s="72">
        <v>110308</v>
      </c>
      <c r="AC63" s="72">
        <v>516036</v>
      </c>
    </row>
    <row r="64" spans="1:39" ht="32.1" customHeight="1">
      <c r="A64" s="164"/>
      <c r="B64" s="137" t="str">
        <f>VLOOKUP("Stk",Sprachindex!A:Z,Info!$O$6,FALSE)</f>
        <v>STK</v>
      </c>
      <c r="C64" s="146"/>
      <c r="D64" s="136">
        <f t="shared" si="6"/>
        <v>0</v>
      </c>
      <c r="E64" s="264" t="str">
        <f>VLOOKUP("PREFA Schneerechenhaken",Sprachindex!A:Z,Info!$O$6,FALSE)</f>
        <v>PREFA Schneerechenhaken</v>
      </c>
      <c r="F64" s="265"/>
      <c r="G64" s="265"/>
      <c r="H64" s="265"/>
      <c r="I64" s="265"/>
      <c r="J64" s="265"/>
      <c r="K64" s="266"/>
      <c r="L64" s="137" t="str">
        <f t="shared" si="4"/>
        <v/>
      </c>
      <c r="M64" s="147"/>
      <c r="O64" s="1"/>
      <c r="P64" s="11"/>
      <c r="Q64" s="11" t="str">
        <f>ROUNDUP(A64/1,0)*1 &amp;" " &amp; VLOOKUP("Stk",Sprachindex!A:Z,Info!$O$6,FALSE)</f>
        <v>0 STK</v>
      </c>
      <c r="T64" s="72">
        <v>120130</v>
      </c>
      <c r="U64" s="72">
        <v>120131</v>
      </c>
      <c r="V64" s="72">
        <v>120132</v>
      </c>
      <c r="W64" s="72">
        <v>120133</v>
      </c>
      <c r="X64" s="72">
        <v>120134</v>
      </c>
      <c r="Y64" s="72">
        <v>120135</v>
      </c>
      <c r="Z64" s="72">
        <v>120136</v>
      </c>
      <c r="AA64" s="72">
        <v>120137</v>
      </c>
      <c r="AB64" s="72">
        <v>120138</v>
      </c>
      <c r="AC64" s="72">
        <v>515006</v>
      </c>
    </row>
    <row r="65" spans="1:29" ht="32.1" customHeight="1">
      <c r="A65" s="164"/>
      <c r="B65" s="137" t="str">
        <f>VLOOKUP("lfm",Sprachindex!A:Z,Info!$O$6,FALSE)</f>
        <v>lfm</v>
      </c>
      <c r="C65" s="146"/>
      <c r="D65" s="136">
        <f t="shared" si="6"/>
        <v>0</v>
      </c>
      <c r="E65" s="264" t="str">
        <f>VLOOKUP("PREFA Rundstange (15 Ø x 3.000 mm) für Schneerechenhaken",Sprachindex!A:Z,Info!$O$6,FALSE)</f>
        <v>PREFA Rundstange (15 Ø x 3.000 mm) für Schneerechenhaken</v>
      </c>
      <c r="F65" s="265"/>
      <c r="G65" s="265"/>
      <c r="H65" s="265"/>
      <c r="I65" s="265"/>
      <c r="J65" s="265"/>
      <c r="K65" s="266"/>
      <c r="L65" s="137" t="str">
        <f t="shared" si="4"/>
        <v/>
      </c>
      <c r="M65" s="147"/>
      <c r="O65" s="1"/>
      <c r="P65" s="11"/>
      <c r="Q65" s="11" t="str">
        <f>ROUNDUP(A65/3,0)*3 &amp;" " &amp; VLOOKUP("lfm",Sprachindex!A:Z,Info!$O$6,FALSE)</f>
        <v>0 lfm</v>
      </c>
      <c r="T65" s="72">
        <v>120300</v>
      </c>
      <c r="U65" s="72">
        <v>120301</v>
      </c>
      <c r="V65" s="72">
        <v>120302</v>
      </c>
      <c r="W65" s="72">
        <v>120303</v>
      </c>
      <c r="X65" s="72">
        <v>120304</v>
      </c>
      <c r="Y65" s="72">
        <v>120305</v>
      </c>
      <c r="Z65" s="72">
        <v>120306</v>
      </c>
      <c r="AA65" s="72">
        <v>120307</v>
      </c>
      <c r="AB65" s="72">
        <v>120308</v>
      </c>
      <c r="AC65" s="72">
        <v>569003</v>
      </c>
    </row>
    <row r="66" spans="1:29" ht="32.1" customHeight="1">
      <c r="A66" s="164"/>
      <c r="B66" s="137" t="str">
        <f>VLOOKUP("Stk",Sprachindex!A:Z,Info!$O$6,FALSE)</f>
        <v>STK</v>
      </c>
      <c r="C66" s="146"/>
      <c r="D66" s="136">
        <f t="shared" si="6"/>
        <v>0</v>
      </c>
      <c r="E66" s="264" t="str">
        <f>VLOOKUP("PREFA Abschluss für Schneerechen",Sprachindex!A:Z,Info!$O$6,FALSE)</f>
        <v>PREFA Abschluss für Schneerechen</v>
      </c>
      <c r="F66" s="265"/>
      <c r="G66" s="265"/>
      <c r="H66" s="265"/>
      <c r="I66" s="265"/>
      <c r="J66" s="265"/>
      <c r="K66" s="266"/>
      <c r="L66" s="137" t="str">
        <f t="shared" si="4"/>
        <v/>
      </c>
      <c r="M66" s="147"/>
      <c r="O66" s="1"/>
      <c r="P66" s="11"/>
      <c r="Q66" s="11" t="str">
        <f>ROUNDUP(A66/1,0)*1 &amp;" " &amp; VLOOKUP("Stk",Sprachindex!A:Z,Info!$O$6,FALSE)</f>
        <v>0 STK</v>
      </c>
      <c r="T66" s="72">
        <v>120380</v>
      </c>
      <c r="U66" s="72">
        <v>120381</v>
      </c>
      <c r="V66" s="72">
        <v>120382</v>
      </c>
      <c r="W66" s="72">
        <v>120383</v>
      </c>
      <c r="X66" s="72">
        <v>120384</v>
      </c>
      <c r="Y66" s="72">
        <v>120385</v>
      </c>
      <c r="Z66" s="72">
        <v>120386</v>
      </c>
      <c r="AA66" s="72">
        <v>120387</v>
      </c>
      <c r="AB66" s="72">
        <v>120388</v>
      </c>
      <c r="AC66" s="72">
        <v>537170</v>
      </c>
    </row>
    <row r="67" spans="1:29" ht="32.1" customHeight="1">
      <c r="A67" s="164"/>
      <c r="B67" s="137" t="str">
        <f>VLOOKUP("Stk",Sprachindex!A:Z,Info!$O$6,FALSE)</f>
        <v>STK</v>
      </c>
      <c r="C67" s="146"/>
      <c r="D67" s="136">
        <f t="shared" si="6"/>
        <v>0</v>
      </c>
      <c r="E67" s="264" t="str">
        <f>VLOOKUP("PREFA Schneerechensystem (205 x 66 x 303 mm)",Sprachindex!A:Z,Info!$O$6,FALSE)</f>
        <v>PREFA Schneerechensystem (205 x 66 x 303 mm)</v>
      </c>
      <c r="F67" s="265"/>
      <c r="G67" s="265"/>
      <c r="H67" s="265"/>
      <c r="I67" s="265"/>
      <c r="J67" s="265"/>
      <c r="K67" s="266"/>
      <c r="L67" s="137" t="str">
        <f t="shared" si="4"/>
        <v/>
      </c>
      <c r="M67" s="147"/>
      <c r="O67" s="1"/>
      <c r="P67" s="11"/>
      <c r="Q67" s="11" t="str">
        <f>ROUNDUP(A67/2,0)*2 &amp;" " &amp; VLOOKUP("Stk",Sprachindex!A:Z,Info!$O$6,FALSE)</f>
        <v>0 STK</v>
      </c>
      <c r="T67" s="72">
        <v>120180</v>
      </c>
      <c r="U67" s="72">
        <v>120181</v>
      </c>
      <c r="V67" s="72">
        <v>120182</v>
      </c>
      <c r="W67" s="72">
        <v>120183</v>
      </c>
      <c r="X67" s="72">
        <v>120184</v>
      </c>
      <c r="Y67" s="72">
        <v>120185</v>
      </c>
      <c r="Z67" s="72">
        <v>120186</v>
      </c>
      <c r="AA67" s="72">
        <v>120187</v>
      </c>
      <c r="AB67" s="72">
        <v>120188</v>
      </c>
      <c r="AC67" s="72">
        <v>515311</v>
      </c>
    </row>
    <row r="68" spans="1:29" ht="32.1" customHeight="1">
      <c r="A68" s="164"/>
      <c r="B68" s="137" t="str">
        <f>VLOOKUP("lfm",Sprachindex!A:Z,Info!$O$6,FALSE)</f>
        <v>lfm</v>
      </c>
      <c r="C68" s="146"/>
      <c r="D68" s="136">
        <f t="shared" si="6"/>
        <v>0</v>
      </c>
      <c r="E68" s="264" t="str">
        <f>VLOOKUP("PREFA Schneerechensystem Einlegprofil (3.000 mm)",Sprachindex!A:Z,Info!$O$6,FALSE)</f>
        <v>PREFA Schneerechensystem Einlegprofil (3.000 mm)</v>
      </c>
      <c r="F68" s="265"/>
      <c r="G68" s="265"/>
      <c r="H68" s="265"/>
      <c r="I68" s="265"/>
      <c r="J68" s="265"/>
      <c r="K68" s="266"/>
      <c r="L68" s="137" t="str">
        <f t="shared" si="4"/>
        <v/>
      </c>
      <c r="M68" s="147"/>
      <c r="O68" s="1"/>
      <c r="P68" s="11"/>
      <c r="Q68" s="11" t="str">
        <f>ROUNDUP(A68/3,0)*3 &amp;" " &amp; VLOOKUP("lfm",Sprachindex!A:Z,Info!$O$6,FALSE)</f>
        <v>0 lfm</v>
      </c>
      <c r="T68" s="72">
        <v>120350</v>
      </c>
      <c r="U68" s="72">
        <v>120351</v>
      </c>
      <c r="V68" s="72">
        <v>120352</v>
      </c>
      <c r="W68" s="72">
        <v>120353</v>
      </c>
      <c r="X68" s="72">
        <v>120354</v>
      </c>
      <c r="Y68" s="72">
        <v>120355</v>
      </c>
      <c r="Z68" s="72">
        <v>120356</v>
      </c>
      <c r="AA68" s="72">
        <v>120357</v>
      </c>
      <c r="AB68" s="72">
        <v>120358</v>
      </c>
      <c r="AC68" s="1">
        <v>669600</v>
      </c>
    </row>
    <row r="69" spans="1:29" ht="32.1" customHeight="1">
      <c r="A69" s="164"/>
      <c r="B69" s="137" t="str">
        <f>VLOOKUP("Stk",Sprachindex!A:Z,Info!$O$6,FALSE)</f>
        <v>STK</v>
      </c>
      <c r="C69" s="146"/>
      <c r="D69" s="136">
        <f t="shared" si="6"/>
        <v>0</v>
      </c>
      <c r="E69" s="264" t="str">
        <f>VLOOKUP("PREFA Schneerechensystem Eiskralle",Sprachindex!A:Z,Info!$O$6,FALSE)</f>
        <v>PREFA Schneerechensystem Eiskralle</v>
      </c>
      <c r="F69" s="265"/>
      <c r="G69" s="265"/>
      <c r="H69" s="265"/>
      <c r="I69" s="265"/>
      <c r="J69" s="265"/>
      <c r="K69" s="266"/>
      <c r="L69" s="137" t="str">
        <f t="shared" si="4"/>
        <v/>
      </c>
      <c r="M69" s="147"/>
      <c r="O69" s="1"/>
      <c r="P69" s="11"/>
      <c r="Q69" s="11" t="str">
        <f>ROUNDUP(A69/1,0)*1 &amp;" " &amp; VLOOKUP("Stk",Sprachindex!A:Z,Info!$O$6,FALSE)</f>
        <v>0 STK</v>
      </c>
      <c r="T69" s="72">
        <v>120700</v>
      </c>
      <c r="U69" s="72">
        <v>120701</v>
      </c>
      <c r="V69" s="72">
        <v>120702</v>
      </c>
      <c r="W69" s="72">
        <v>120703</v>
      </c>
      <c r="X69" s="72">
        <v>120704</v>
      </c>
      <c r="Y69" s="72">
        <v>120705</v>
      </c>
      <c r="Z69" s="72">
        <v>120706</v>
      </c>
      <c r="AA69" s="72">
        <v>120707</v>
      </c>
      <c r="AB69" s="72">
        <v>120708</v>
      </c>
      <c r="AC69" s="72">
        <v>649651</v>
      </c>
    </row>
    <row r="70" spans="1:29" ht="32.1" customHeight="1">
      <c r="A70" s="164"/>
      <c r="B70" s="137" t="str">
        <f>VLOOKUP("Stk",Sprachindex!A:Z,Info!$O$6,FALSE)</f>
        <v>STK</v>
      </c>
      <c r="C70" s="146"/>
      <c r="D70" s="136">
        <f t="shared" si="6"/>
        <v>0</v>
      </c>
      <c r="E70" s="264" t="str">
        <f>VLOOKUP("PREFA Schneerechensystem Abschluss",Sprachindex!A:Z,Info!$O$6,FALSE)</f>
        <v>PREFA Schneerechensystem Abschluss</v>
      </c>
      <c r="F70" s="265"/>
      <c r="G70" s="265"/>
      <c r="H70" s="265"/>
      <c r="I70" s="265"/>
      <c r="J70" s="265"/>
      <c r="K70" s="266"/>
      <c r="L70" s="137" t="str">
        <f t="shared" si="4"/>
        <v/>
      </c>
      <c r="M70" s="147"/>
      <c r="O70" s="1"/>
      <c r="P70" s="11"/>
      <c r="Q70" s="11" t="str">
        <f>ROUNDUP(A70/1,0)*1 &amp;" " &amp; VLOOKUP("Stk",Sprachindex!A:Z,Info!$O$6,FALSE)</f>
        <v>0 STK</v>
      </c>
      <c r="T70" s="72">
        <v>120390</v>
      </c>
      <c r="U70" s="72">
        <v>120391</v>
      </c>
      <c r="V70" s="72">
        <v>120392</v>
      </c>
      <c r="W70" s="72">
        <v>120393</v>
      </c>
      <c r="X70" s="72">
        <v>120394</v>
      </c>
      <c r="Y70" s="72">
        <v>120395</v>
      </c>
      <c r="Z70" s="72">
        <v>120396</v>
      </c>
      <c r="AA70" s="72">
        <v>120397</v>
      </c>
      <c r="AB70" s="72">
        <v>120398</v>
      </c>
      <c r="AC70" s="72">
        <v>515312</v>
      </c>
    </row>
    <row r="71" spans="1:29" ht="32.1" customHeight="1">
      <c r="A71" s="164"/>
      <c r="B71" s="137" t="str">
        <f>VLOOKUP("Stk",Sprachindex!A:Z,Info!$O$6,FALSE)</f>
        <v>STK</v>
      </c>
      <c r="C71" s="146"/>
      <c r="D71" s="136">
        <f t="shared" si="6"/>
        <v>0</v>
      </c>
      <c r="E71" s="264" t="str">
        <f>VLOOKUP("PREFA Gebirgsschneefangstütze",Sprachindex!A:Z,Info!$O$6,FALSE)</f>
        <v>PREFA Gebirgsschneefangstütze</v>
      </c>
      <c r="F71" s="265"/>
      <c r="G71" s="265"/>
      <c r="H71" s="265"/>
      <c r="I71" s="265"/>
      <c r="J71" s="265"/>
      <c r="K71" s="266"/>
      <c r="L71" s="137" t="str">
        <f t="shared" si="4"/>
        <v/>
      </c>
      <c r="M71" s="147"/>
      <c r="O71" s="1"/>
      <c r="P71" s="11"/>
      <c r="Q71" s="11" t="str">
        <f>ROUNDUP(A71/1,0)*1 &amp;" " &amp; VLOOKUP("Stk",Sprachindex!A:Z,Info!$O$6,FALSE)</f>
        <v>0 STK</v>
      </c>
      <c r="T71" s="72">
        <v>120150</v>
      </c>
      <c r="U71" s="72">
        <v>120151</v>
      </c>
      <c r="V71" s="72">
        <v>120152</v>
      </c>
      <c r="W71" s="72">
        <v>120153</v>
      </c>
      <c r="X71" s="72">
        <v>120154</v>
      </c>
      <c r="Y71" s="72">
        <v>120155</v>
      </c>
      <c r="Z71" s="72">
        <v>120156</v>
      </c>
      <c r="AA71" s="72">
        <v>120157</v>
      </c>
      <c r="AB71" s="72">
        <v>120158</v>
      </c>
      <c r="AC71" s="72">
        <v>635801</v>
      </c>
    </row>
    <row r="72" spans="1:29" ht="32.1" customHeight="1">
      <c r="A72" s="164"/>
      <c r="B72" s="137" t="str">
        <f>VLOOKUP("Stk",Sprachindex!A:Z,Info!$O$6,FALSE)</f>
        <v>STK</v>
      </c>
      <c r="C72" s="146"/>
      <c r="D72" s="136">
        <f t="shared" si="6"/>
        <v>0</v>
      </c>
      <c r="E72" s="264" t="str">
        <f>VLOOKUP("PREFA Kaminhut 700 x 700 mm",Sprachindex!A:Z,Info!$O$6,FALSE)</f>
        <v>PREFA Kaminhut 700 x 700 mm</v>
      </c>
      <c r="F72" s="265"/>
      <c r="G72" s="265"/>
      <c r="H72" s="265"/>
      <c r="I72" s="265"/>
      <c r="J72" s="265"/>
      <c r="K72" s="266"/>
      <c r="L72" s="137" t="str">
        <f t="shared" si="4"/>
        <v/>
      </c>
      <c r="M72" s="147"/>
      <c r="O72" s="1"/>
      <c r="P72" s="11"/>
      <c r="Q72" s="11" t="str">
        <f>ROUNDUP(A72/1,0)*1 &amp;" " &amp; VLOOKUP("Stk",Sprachindex!A:Z,Info!$O$6,FALSE)</f>
        <v>0 STK</v>
      </c>
      <c r="T72" s="72">
        <v>110420</v>
      </c>
      <c r="U72" s="72">
        <v>110421</v>
      </c>
      <c r="V72" s="72">
        <v>110422</v>
      </c>
      <c r="W72" s="72">
        <v>110423</v>
      </c>
      <c r="X72" s="72">
        <v>110424</v>
      </c>
      <c r="Y72" s="72">
        <v>110425</v>
      </c>
      <c r="Z72" s="72">
        <v>110426</v>
      </c>
      <c r="AA72" s="72">
        <v>110427</v>
      </c>
      <c r="AB72" s="72">
        <v>110428</v>
      </c>
      <c r="AC72" s="72">
        <v>545001</v>
      </c>
    </row>
    <row r="73" spans="1:29" ht="32.1" customHeight="1">
      <c r="A73" s="164"/>
      <c r="B73" s="137" t="str">
        <f>VLOOKUP("Stk",Sprachindex!A:Z,Info!$O$6,FALSE)</f>
        <v>STK</v>
      </c>
      <c r="C73" s="146"/>
      <c r="D73" s="136">
        <f t="shared" si="6"/>
        <v>0</v>
      </c>
      <c r="E73" s="264" t="str">
        <f>VLOOKUP("PREFA Kaminhut 800 x 800 mm",Sprachindex!A:Z,Info!$O$6,FALSE)</f>
        <v>PREFA Kaminhut 800 x 800 mm</v>
      </c>
      <c r="F73" s="265"/>
      <c r="G73" s="265"/>
      <c r="H73" s="265"/>
      <c r="I73" s="265"/>
      <c r="J73" s="265"/>
      <c r="K73" s="266"/>
      <c r="L73" s="137" t="str">
        <f t="shared" si="4"/>
        <v/>
      </c>
      <c r="M73" s="147"/>
      <c r="O73" s="1"/>
      <c r="P73" s="11"/>
      <c r="Q73" s="11" t="str">
        <f>ROUNDUP(A73/1,0)*1 &amp;" " &amp; VLOOKUP("Stk",Sprachindex!A:Z,Info!$O$6,FALSE)</f>
        <v>0 STK</v>
      </c>
      <c r="T73" s="72">
        <v>110430</v>
      </c>
      <c r="U73" s="72">
        <v>110431</v>
      </c>
      <c r="V73" s="72">
        <v>110432</v>
      </c>
      <c r="W73" s="72">
        <v>110433</v>
      </c>
      <c r="X73" s="72">
        <v>110434</v>
      </c>
      <c r="Y73" s="72">
        <v>110435</v>
      </c>
      <c r="Z73" s="72">
        <v>110436</v>
      </c>
      <c r="AA73" s="72">
        <v>110437</v>
      </c>
      <c r="AB73" s="72">
        <v>110438</v>
      </c>
      <c r="AC73" s="72">
        <v>545012</v>
      </c>
    </row>
    <row r="74" spans="1:29" ht="32.1" customHeight="1">
      <c r="A74" s="164"/>
      <c r="B74" s="137" t="str">
        <f>VLOOKUP("Stk",Sprachindex!A:Z,Info!$O$6,FALSE)</f>
        <v>STK</v>
      </c>
      <c r="C74" s="146"/>
      <c r="D74" s="136">
        <f t="shared" si="6"/>
        <v>0</v>
      </c>
      <c r="E74" s="264" t="str">
        <f>VLOOKUP("PREFA Kaminhut 1.000 x 700 mm",Sprachindex!A:Z,Info!$O$6,FALSE)</f>
        <v>PREFA Kaminhut 1.000 x 700 mm</v>
      </c>
      <c r="F74" s="265"/>
      <c r="G74" s="265"/>
      <c r="H74" s="265"/>
      <c r="I74" s="265"/>
      <c r="J74" s="265"/>
      <c r="K74" s="266"/>
      <c r="L74" s="137" t="str">
        <f t="shared" si="4"/>
        <v/>
      </c>
      <c r="M74" s="147"/>
      <c r="O74" s="1"/>
      <c r="P74" s="11"/>
      <c r="Q74" s="11" t="str">
        <f>ROUNDUP(A74/1,0)*1 &amp;" " &amp; VLOOKUP("Stk",Sprachindex!A:Z,Info!$O$6,FALSE)</f>
        <v>0 STK</v>
      </c>
      <c r="T74" s="72">
        <v>110440</v>
      </c>
      <c r="U74" s="72">
        <v>110441</v>
      </c>
      <c r="V74" s="72">
        <v>110442</v>
      </c>
      <c r="W74" s="72">
        <v>110443</v>
      </c>
      <c r="X74" s="72">
        <v>110444</v>
      </c>
      <c r="Y74" s="72">
        <v>110445</v>
      </c>
      <c r="Z74" s="72">
        <v>110446</v>
      </c>
      <c r="AA74" s="72">
        <v>110447</v>
      </c>
      <c r="AB74" s="72">
        <v>110448</v>
      </c>
      <c r="AC74" s="72">
        <v>545003</v>
      </c>
    </row>
    <row r="75" spans="1:29" ht="32.1" customHeight="1">
      <c r="A75" s="164"/>
      <c r="B75" s="137" t="str">
        <f>VLOOKUP("Stk",Sprachindex!A:Z,Info!$O$6,FALSE)</f>
        <v>STK</v>
      </c>
      <c r="C75" s="146"/>
      <c r="D75" s="136">
        <f t="shared" si="6"/>
        <v>0</v>
      </c>
      <c r="E75" s="264" t="str">
        <f>VLOOKUP("PREFA Kaminhut 1.100 x 800 mm",Sprachindex!A:Z,Info!$O$6,FALSE)</f>
        <v>PREFA Kaminhut 1.100 x 800 mm</v>
      </c>
      <c r="F75" s="265"/>
      <c r="G75" s="265"/>
      <c r="H75" s="265"/>
      <c r="I75" s="265"/>
      <c r="J75" s="265"/>
      <c r="K75" s="266"/>
      <c r="L75" s="137" t="str">
        <f t="shared" si="4"/>
        <v/>
      </c>
      <c r="M75" s="147"/>
      <c r="O75" s="1"/>
      <c r="P75" s="11"/>
      <c r="Q75" s="11" t="str">
        <f>ROUNDUP(A75/1,0)*1 &amp;" " &amp; VLOOKUP("Stk",Sprachindex!A:Z,Info!$O$6,FALSE)</f>
        <v>0 STK</v>
      </c>
      <c r="T75" s="72">
        <v>110450</v>
      </c>
      <c r="U75" s="72">
        <v>110451</v>
      </c>
      <c r="V75" s="72">
        <v>110452</v>
      </c>
      <c r="W75" s="72">
        <v>110453</v>
      </c>
      <c r="X75" s="72">
        <v>110454</v>
      </c>
      <c r="Y75" s="72">
        <v>110455</v>
      </c>
      <c r="Z75" s="72">
        <v>110456</v>
      </c>
      <c r="AA75" s="72">
        <v>110457</v>
      </c>
      <c r="AB75" s="72">
        <v>110458</v>
      </c>
      <c r="AC75" s="72">
        <v>545016</v>
      </c>
    </row>
    <row r="76" spans="1:29" ht="32.1" customHeight="1">
      <c r="A76" s="164"/>
      <c r="B76" s="137" t="str">
        <f>VLOOKUP("Stk",Sprachindex!A:Z,Info!$O$6,FALSE)</f>
        <v>STK</v>
      </c>
      <c r="C76" s="146"/>
      <c r="D76" s="136">
        <f t="shared" si="6"/>
        <v>0</v>
      </c>
      <c r="E76" s="264" t="str">
        <f>VLOOKUP("PREFA Kaminhut 1.500 x 800 mm",Sprachindex!A:Z,Info!$O$6,FALSE)</f>
        <v>PREFA Kaminhut 1.500 x 800 mm</v>
      </c>
      <c r="F76" s="265"/>
      <c r="G76" s="265"/>
      <c r="H76" s="265"/>
      <c r="I76" s="265"/>
      <c r="J76" s="265"/>
      <c r="K76" s="266"/>
      <c r="L76" s="137" t="str">
        <f t="shared" si="4"/>
        <v/>
      </c>
      <c r="M76" s="147"/>
      <c r="O76" s="1"/>
      <c r="P76" s="11"/>
      <c r="Q76" s="11" t="str">
        <f>ROUNDUP(A76/1,0)*1 &amp;" " &amp; VLOOKUP("Stk",Sprachindex!A:Z,Info!$O$6,FALSE)</f>
        <v>0 STK</v>
      </c>
      <c r="T76" s="72">
        <v>110460</v>
      </c>
      <c r="U76" s="72">
        <v>110461</v>
      </c>
      <c r="V76" s="72">
        <v>110462</v>
      </c>
      <c r="W76" s="72">
        <v>110463</v>
      </c>
      <c r="X76" s="72">
        <v>110464</v>
      </c>
      <c r="Y76" s="72">
        <v>110465</v>
      </c>
      <c r="Z76" s="72">
        <v>110466</v>
      </c>
      <c r="AA76" s="72">
        <v>110467</v>
      </c>
      <c r="AB76" s="72">
        <v>110468</v>
      </c>
      <c r="AC76" s="72">
        <v>545005</v>
      </c>
    </row>
    <row r="77" spans="1:29" ht="32.1" customHeight="1">
      <c r="A77" s="164"/>
      <c r="B77" s="137" t="str">
        <f>VLOOKUP("Stk",Sprachindex!A:Z,Info!$O$6,FALSE)</f>
        <v>STK</v>
      </c>
      <c r="C77" s="146"/>
      <c r="D77" s="136">
        <f t="shared" si="6"/>
        <v>0</v>
      </c>
      <c r="E77" s="264" t="str">
        <f>VLOOKUP("Kaminstrebe gebogen",Sprachindex!A:Z,Info!$O$6,FALSE)</f>
        <v>Kaminstrebe gebogen</v>
      </c>
      <c r="F77" s="265"/>
      <c r="G77" s="265"/>
      <c r="H77" s="265"/>
      <c r="I77" s="265"/>
      <c r="J77" s="265"/>
      <c r="K77" s="266"/>
      <c r="L77" s="137" t="str">
        <f t="shared" si="4"/>
        <v/>
      </c>
      <c r="M77" s="147"/>
      <c r="O77" s="1"/>
      <c r="P77" s="11"/>
      <c r="Q77" s="11" t="str">
        <f>ROUNDUP(A77/1,0)*1 &amp;" " &amp; VLOOKUP("Stk",Sprachindex!A:Z,Info!$O$6,FALSE)</f>
        <v>0 STK</v>
      </c>
      <c r="T77" s="72">
        <v>110410</v>
      </c>
      <c r="U77" s="72">
        <v>110411</v>
      </c>
      <c r="V77" s="72">
        <v>110412</v>
      </c>
      <c r="W77" s="72">
        <v>110413</v>
      </c>
      <c r="X77" s="72">
        <v>110414</v>
      </c>
      <c r="Y77" s="72">
        <v>110415</v>
      </c>
      <c r="Z77" s="72">
        <v>110416</v>
      </c>
      <c r="AA77" s="72">
        <v>110417</v>
      </c>
      <c r="AB77" s="72">
        <v>110418</v>
      </c>
      <c r="AC77" s="72">
        <v>537029</v>
      </c>
    </row>
    <row r="78" spans="1:29" ht="32.1" customHeight="1">
      <c r="A78" s="164"/>
      <c r="B78" s="137" t="str">
        <f>VLOOKUP("lfm",Sprachindex!A:Z,Info!$O$6,FALSE)</f>
        <v>lfm</v>
      </c>
      <c r="C78" s="146"/>
      <c r="D78" s="136">
        <f t="shared" si="6"/>
        <v>0</v>
      </c>
      <c r="E78" s="264" t="str">
        <f>VLOOKUP("PREFA Flachprofil (35 x 7 x 3.000 mm)",Sprachindex!A:Z,Info!$O$6,FALSE)</f>
        <v>PREFA Flachprofil (35 x 7 x 3.000 mm)</v>
      </c>
      <c r="F78" s="265"/>
      <c r="G78" s="265"/>
      <c r="H78" s="265"/>
      <c r="I78" s="265"/>
      <c r="J78" s="265"/>
      <c r="K78" s="266"/>
      <c r="L78" s="137" t="str">
        <f t="shared" si="4"/>
        <v/>
      </c>
      <c r="M78" s="147"/>
      <c r="O78" s="1"/>
      <c r="P78" s="11"/>
      <c r="Q78" s="11" t="str">
        <f>ROUNDUP(A78/3,0)*3 &amp;" " &amp; VLOOKUP("lfm",Sprachindex!A:Z,Info!$O$6,FALSE)</f>
        <v>0 lfm</v>
      </c>
      <c r="T78" s="72">
        <v>110400</v>
      </c>
      <c r="U78" s="72">
        <v>110401</v>
      </c>
      <c r="V78" s="72">
        <v>110402</v>
      </c>
      <c r="W78" s="72">
        <v>110403</v>
      </c>
      <c r="X78" s="72">
        <v>110404</v>
      </c>
      <c r="Y78" s="72">
        <v>110405</v>
      </c>
      <c r="Z78" s="72">
        <v>110406</v>
      </c>
      <c r="AA78" s="72">
        <v>110407</v>
      </c>
      <c r="AB78" s="72">
        <v>110408</v>
      </c>
      <c r="AC78" s="72">
        <v>17012</v>
      </c>
    </row>
    <row r="79" spans="1:29" ht="32.1" customHeight="1">
      <c r="A79" s="164"/>
      <c r="B79" s="137" t="str">
        <f>VLOOKUP("Stk",Sprachindex!A:Z,Info!$O$6,FALSE)</f>
        <v>STK</v>
      </c>
      <c r="C79" s="146"/>
      <c r="D79" s="136">
        <f t="shared" si="6"/>
        <v>0</v>
      </c>
      <c r="E79" s="264" t="str">
        <f>VLOOKUP("PREFA Hauerbuckel, zum Abdecken von Befestigungsmitteln",Sprachindex!A:Z,Info!$O$6,FALSE)</f>
        <v>PREFA Hauerbuckel, zum Abdecken von Befestigungsmitteln</v>
      </c>
      <c r="F79" s="265"/>
      <c r="G79" s="265"/>
      <c r="H79" s="265"/>
      <c r="I79" s="265"/>
      <c r="J79" s="265"/>
      <c r="K79" s="266"/>
      <c r="L79" s="137" t="str">
        <f t="shared" si="4"/>
        <v/>
      </c>
      <c r="M79" s="147"/>
      <c r="O79" s="1"/>
      <c r="P79" s="11"/>
      <c r="Q79" s="11" t="str">
        <f>ROUNDUP(A79/1,0)*1 &amp;" " &amp; VLOOKUP("Stk",Sprachindex!A:Z,Info!$O$6,FALSE)</f>
        <v>0 STK</v>
      </c>
      <c r="T79" s="72">
        <v>112401</v>
      </c>
      <c r="U79" s="72">
        <v>112402</v>
      </c>
      <c r="V79" s="72">
        <v>112403</v>
      </c>
      <c r="W79" s="72">
        <v>112404</v>
      </c>
      <c r="X79" s="72">
        <v>112405</v>
      </c>
      <c r="Y79" s="72">
        <v>112406</v>
      </c>
      <c r="Z79" s="72">
        <v>112407</v>
      </c>
      <c r="AA79" s="72">
        <v>112408</v>
      </c>
      <c r="AB79" s="72">
        <v>112409</v>
      </c>
      <c r="AC79" s="72">
        <v>112420</v>
      </c>
    </row>
    <row r="80" spans="1:29" ht="32.1" customHeight="1">
      <c r="A80" s="164"/>
      <c r="B80" s="137" t="str">
        <f>VLOOKUP("Stk",Sprachindex!A:Z,Info!$O$6,FALSE)</f>
        <v>STK</v>
      </c>
      <c r="C80" s="146"/>
      <c r="D80" s="136">
        <v>420006</v>
      </c>
      <c r="E80" s="264" t="str">
        <f>VLOOKUP("PREFA Silikon Kartusche",Sprachindex!A:Z,Info!$O$6,FALSE)</f>
        <v>PREFA Silikon Kartusche</v>
      </c>
      <c r="F80" s="265"/>
      <c r="G80" s="265"/>
      <c r="H80" s="265"/>
      <c r="I80" s="265"/>
      <c r="J80" s="265"/>
      <c r="K80" s="266"/>
      <c r="L80" s="137" t="str">
        <f t="shared" si="4"/>
        <v/>
      </c>
      <c r="M80" s="147"/>
      <c r="O80" s="1"/>
      <c r="P80" s="57"/>
      <c r="Q80" s="11" t="str">
        <f>ROUNDUP(A80/1,0)*1 &amp;" " &amp; VLOOKUP("Stk",Sprachindex!A:Z,Info!$O$6,FALSE)</f>
        <v>0 STK</v>
      </c>
    </row>
    <row r="81" spans="1:39" ht="32.1" customHeight="1">
      <c r="A81" s="164"/>
      <c r="B81" s="137" t="str">
        <f>VLOOKUP("Set",Sprachindex!A:Z,Info!$O$6,FALSE)</f>
        <v>Set</v>
      </c>
      <c r="C81" s="146"/>
      <c r="D81" s="136">
        <v>420500</v>
      </c>
      <c r="E81" s="264" t="str">
        <f>VLOOKUP("PREFA Spezialkleberset",Sprachindex!A:Z,Info!$O$6,FALSE)</f>
        <v>PREFA Spezialkleberset</v>
      </c>
      <c r="F81" s="265"/>
      <c r="G81" s="265"/>
      <c r="H81" s="265"/>
      <c r="I81" s="265"/>
      <c r="J81" s="265"/>
      <c r="K81" s="266"/>
      <c r="L81" s="137" t="str">
        <f t="shared" si="4"/>
        <v/>
      </c>
      <c r="M81" s="147"/>
      <c r="O81" s="1"/>
      <c r="P81" s="11"/>
      <c r="Q81" s="11" t="str">
        <f>ROUNDUP(A81/1,0)*1 &amp;" " &amp; VLOOKUP("Set",Sprachindex!A:Z,Info!$O$6,FALSE)</f>
        <v>0 Set</v>
      </c>
    </row>
    <row r="82" spans="1:39" ht="32.1" customHeight="1">
      <c r="A82" s="164"/>
      <c r="B82" s="137" t="str">
        <f>VLOOKUP("kg",Sprachindex!A:Z,Info!$O$6,FALSE)</f>
        <v>kg</v>
      </c>
      <c r="C82" s="146"/>
      <c r="D82" s="139">
        <f>IF(I82=Formeln!A116,X82,IF(I82=Formeln!A117,T82,IF(I82=Formeln!A118,U82,IF(I82=Formeln!A119,V82,IF(I82=Formeln!A120,W82,0)))))</f>
        <v>0</v>
      </c>
      <c r="E82" s="267" t="str">
        <f>VLOOKUP("PREFA Lochblech DM 5 mm
ca. 24kg/Rolle (0,7x1.000 mm)",Sprachindex!A:Z,Info!$O$6,FALSE)</f>
        <v>PREFA Lochblech DM 5 mm
ca. 24kg/Rolle (0,7x1.000 mm)</v>
      </c>
      <c r="F82" s="268"/>
      <c r="G82" s="268"/>
      <c r="H82" s="268"/>
      <c r="I82" s="269"/>
      <c r="J82" s="270"/>
      <c r="K82" s="270"/>
      <c r="L82" s="137" t="str">
        <f t="shared" si="4"/>
        <v/>
      </c>
      <c r="M82" s="147"/>
      <c r="O82" s="1"/>
      <c r="P82" s="11"/>
      <c r="Q82" s="11" t="str">
        <f>ROUNDUP(A82/24,0)*1 &amp; " " &amp; R82 &amp; "                         (" &amp;ROUNDUP(A82/24,0)*24&amp;" " &amp; B82 &amp; ")"</f>
        <v>0 Rolle                         (0 kg)</v>
      </c>
      <c r="R82" s="11" t="str">
        <f>IF(A82&gt;21.24, Formeln!A128, Formeln!A127)</f>
        <v>Rolle</v>
      </c>
      <c r="T82" s="72">
        <v>507202</v>
      </c>
      <c r="U82" s="72">
        <v>507203</v>
      </c>
      <c r="V82" s="72">
        <v>507204</v>
      </c>
      <c r="W82" s="72">
        <v>507205</v>
      </c>
      <c r="X82" s="72">
        <v>507206</v>
      </c>
    </row>
    <row r="83" spans="1:39" ht="50.1" customHeight="1">
      <c r="A83" s="164"/>
      <c r="B83" s="137" t="str">
        <f>VLOOKUP("kg",Sprachindex!A:Z,Info!$O$6,FALSE)</f>
        <v>kg</v>
      </c>
      <c r="C83" s="146"/>
      <c r="D83" s="139">
        <f>IF(AND(I83=Formeln!A21,K83=Formeln!A134),T83,IF(AND(I83=Formeln!A21,K83=Formeln!A137),U83,IF(AND(I83=Formeln!A21,K83=Formeln!A139),V83,IF(AND(I83=Formeln!A21,K83=Formeln!A137),AE83,IF(AND(I83=Formeln!A21,K83=Formeln!A133),W83,IF(AND(I83=Formeln!A21,K83=Formeln!A141),X83,IF(AND(I83=Formeln!A21,K83=Formeln!A136),Y83,IF(AND(I83=Formeln!A21,K83=Formeln!A140),Z83,IF(AND(I83=Formeln!A21,K83=Formeln!A138),AA83,IF(AND(I83=Formeln!A21,K83=Formeln!A135),AB83,IF(AND(I83=Formeln!A21,K83=Formeln!A142),AC83,IF(AND(I83=Formeln!A22,K83=Formeln!A134),AD83,IF(AND(I83=Formeln!A22,K83=Formeln!A137),AE83,IF(AND(I83=Formeln!A22,K83=Formeln!A139),AF83,IF(AND(I83=Formeln!A22,K83=Formeln!A137),AE83,IF(AND(I83=Formeln!A22,K83=Formeln!A133),AG83,IF(AND(I83=Formeln!A22,K83=Formeln!A141),AH83,IF(AND(I83=Formeln!A22,K83=Formeln!A136),AI83,IF(AND(I83=Formeln!A22,K83=Formeln!A140),AJ83,IF(AND(I83=Formeln!A22,K83=Formeln!A138),AK83,IF(AND(I83=Formeln!A22,K83=Formeln!A135),AL83,IF(AND(I83=Formeln!A22,K83=Formeln!A142),AM83,0))))))))))))))))))))))</f>
        <v>0</v>
      </c>
      <c r="E83" s="264" t="str">
        <f>VLOOKUP("PREFALZ Ergänzungsband 0,7x1.000 mm (für Zusatzverblechungen)",Sprachindex!A:Z,Info!$O$6,FALSE)</f>
        <v>PREFALZ Ergänzungsband 0,7x1.000 mm (für Zusatzverblechungen)</v>
      </c>
      <c r="F83" s="265"/>
      <c r="G83" s="265"/>
      <c r="H83" s="148" t="str">
        <f>VLOOKUP("Oberfläche:",Sprachindex!A:Z,Info!$O$6,FALSE)</f>
        <v>Oberfläche:</v>
      </c>
      <c r="I83" s="149"/>
      <c r="J83" s="145" t="str">
        <f>VLOOKUP("Farbe:",Sprachindex!A:Z,Info!$O$6,FALSE)</f>
        <v>Farbe:</v>
      </c>
      <c r="K83" s="149"/>
      <c r="L83" s="137" t="str">
        <f t="shared" si="4"/>
        <v/>
      </c>
      <c r="M83" s="147"/>
      <c r="O83" s="1"/>
      <c r="P83" s="11"/>
      <c r="Q83" s="11" t="str">
        <f>ROUNDUP(A83/60,0)*1 &amp; " " &amp; R83 &amp; "                         (" &amp;ROUNDUP(A83/60,0)*60&amp;" " &amp; B83 &amp; ")"</f>
        <v>0 Rolle                         (0 kg)</v>
      </c>
      <c r="R83" s="11" t="str">
        <f>IF(A83&gt;60, Formeln!A128, Formeln!A127)</f>
        <v>Rolle</v>
      </c>
      <c r="T83" s="202" t="s">
        <v>3552</v>
      </c>
      <c r="U83" s="202" t="s">
        <v>3553</v>
      </c>
      <c r="V83" s="202" t="s">
        <v>3554</v>
      </c>
      <c r="W83" s="202" t="s">
        <v>3555</v>
      </c>
      <c r="X83" s="202" t="s">
        <v>3556</v>
      </c>
      <c r="Y83" s="202" t="s">
        <v>3557</v>
      </c>
      <c r="Z83" s="202" t="s">
        <v>3558</v>
      </c>
      <c r="AA83" s="202" t="s">
        <v>3559</v>
      </c>
      <c r="AB83" s="202" t="s">
        <v>3560</v>
      </c>
      <c r="AC83" s="202" t="s">
        <v>3561</v>
      </c>
      <c r="AD83" s="202" t="s">
        <v>3758</v>
      </c>
      <c r="AE83" s="202" t="s">
        <v>3759</v>
      </c>
      <c r="AF83" s="202" t="s">
        <v>3760</v>
      </c>
      <c r="AG83" s="202" t="s">
        <v>3761</v>
      </c>
      <c r="AH83" s="202" t="s">
        <v>3762</v>
      </c>
      <c r="AI83" s="202" t="s">
        <v>3763</v>
      </c>
      <c r="AJ83" s="202" t="s">
        <v>3764</v>
      </c>
      <c r="AK83" s="202" t="s">
        <v>3765</v>
      </c>
      <c r="AL83" s="202" t="s">
        <v>3766</v>
      </c>
      <c r="AM83" s="202" t="s">
        <v>3562</v>
      </c>
    </row>
    <row r="84" spans="1:39" ht="32.1" customHeight="1">
      <c r="A84" s="164"/>
      <c r="B84" s="173"/>
      <c r="C84" s="173"/>
      <c r="D84" s="173"/>
      <c r="E84" s="298"/>
      <c r="F84" s="299"/>
      <c r="G84" s="299"/>
      <c r="H84" s="299"/>
      <c r="I84" s="299"/>
      <c r="J84" s="299"/>
      <c r="K84" s="300"/>
      <c r="L84" s="173"/>
      <c r="M84" s="174"/>
      <c r="O84" s="1"/>
      <c r="P84" s="11"/>
      <c r="Q84" s="11" t="str">
        <f>ROUNDUP(A84/1,0)*1 &amp;" " &amp; VLOOKUP("Stk",Sprachindex!A:Z,Info!$O$6,FALSE)</f>
        <v>0 STK</v>
      </c>
    </row>
    <row r="85" spans="1:39" ht="32.1" customHeight="1">
      <c r="A85" s="164"/>
      <c r="B85" s="173"/>
      <c r="C85" s="173"/>
      <c r="D85" s="173"/>
      <c r="E85" s="298"/>
      <c r="F85" s="299"/>
      <c r="G85" s="299"/>
      <c r="H85" s="299"/>
      <c r="I85" s="299"/>
      <c r="J85" s="299"/>
      <c r="K85" s="300"/>
      <c r="L85" s="173"/>
      <c r="M85" s="174"/>
      <c r="O85" s="1"/>
      <c r="P85" s="11"/>
      <c r="Q85" s="11" t="str">
        <f>ROUNDUP(A85/1,0)*1 &amp;" " &amp; VLOOKUP("Stk",Sprachindex!A:Z,Info!$O$6,FALSE)</f>
        <v>0 STK</v>
      </c>
    </row>
    <row r="86" spans="1:39" ht="32.1" customHeight="1" thickBot="1">
      <c r="A86" s="175"/>
      <c r="B86" s="176"/>
      <c r="C86" s="176"/>
      <c r="D86" s="176"/>
      <c r="E86" s="301"/>
      <c r="F86" s="302"/>
      <c r="G86" s="302"/>
      <c r="H86" s="302"/>
      <c r="I86" s="302"/>
      <c r="J86" s="302"/>
      <c r="K86" s="303"/>
      <c r="L86" s="176"/>
      <c r="M86" s="177"/>
      <c r="O86" s="1"/>
      <c r="P86" s="11"/>
      <c r="Q86" s="11" t="str">
        <f>ROUNDUP(A86/1,0)*1 &amp;" " &amp; VLOOKUP("Stk",Sprachindex!A:Z,Info!$O$6,FALSE)</f>
        <v>0 STK</v>
      </c>
    </row>
    <row r="87" spans="1:39" ht="15" customHeight="1">
      <c r="A87" s="123"/>
      <c r="B87" s="123"/>
      <c r="C87" s="123"/>
      <c r="D87" s="280"/>
      <c r="E87" s="280"/>
      <c r="F87" s="280"/>
      <c r="G87" s="280"/>
      <c r="H87" s="280"/>
      <c r="I87" s="280"/>
      <c r="J87" s="280"/>
      <c r="K87" s="280"/>
      <c r="L87" s="280"/>
      <c r="M87" s="280"/>
    </row>
    <row r="88" spans="1:39" ht="16.899999999999999">
      <c r="A88" s="123"/>
      <c r="B88" s="123"/>
      <c r="C88" s="153" t="str">
        <f>VLOOKUP("Zusatzvermerk:",Sprachindex!A:Z,Info!$O$6,FALSE)</f>
        <v>Zusatzvermerk:</v>
      </c>
      <c r="D88" s="279"/>
      <c r="E88" s="279"/>
      <c r="F88" s="279"/>
      <c r="G88" s="279"/>
      <c r="H88" s="279"/>
      <c r="I88" s="279"/>
      <c r="J88" s="279"/>
      <c r="K88" s="279"/>
      <c r="L88" s="279"/>
      <c r="M88" s="279"/>
    </row>
    <row r="89" spans="1:39" ht="16.899999999999999">
      <c r="A89" s="123"/>
      <c r="B89" s="123"/>
      <c r="C89" s="123"/>
      <c r="D89" s="278"/>
      <c r="E89" s="278"/>
      <c r="F89" s="278"/>
      <c r="G89" s="278"/>
      <c r="H89" s="278"/>
      <c r="I89" s="278"/>
      <c r="J89" s="278"/>
      <c r="K89" s="278"/>
      <c r="L89" s="278"/>
      <c r="M89" s="278"/>
    </row>
    <row r="90" spans="1:39" ht="16.899999999999999">
      <c r="A90" s="123"/>
      <c r="B90" s="123"/>
      <c r="C90" s="123"/>
      <c r="D90" s="279"/>
      <c r="E90" s="279"/>
      <c r="F90" s="279"/>
      <c r="G90" s="279"/>
      <c r="H90" s="279"/>
      <c r="I90" s="279"/>
      <c r="J90" s="279"/>
      <c r="K90" s="279"/>
      <c r="L90" s="279"/>
      <c r="M90" s="279"/>
    </row>
    <row r="91" spans="1:39" ht="16.899999999999999">
      <c r="A91" s="123"/>
      <c r="B91" s="123"/>
      <c r="C91" s="123"/>
      <c r="D91" s="278"/>
      <c r="E91" s="278"/>
      <c r="F91" s="278"/>
      <c r="G91" s="278"/>
      <c r="H91" s="278"/>
      <c r="I91" s="278"/>
      <c r="J91" s="278"/>
      <c r="K91" s="278"/>
      <c r="L91" s="278"/>
      <c r="M91" s="278"/>
    </row>
    <row r="92" spans="1:39" ht="16.899999999999999">
      <c r="A92" s="123"/>
      <c r="B92" s="123"/>
      <c r="C92" s="123"/>
      <c r="D92" s="279"/>
      <c r="E92" s="279"/>
      <c r="F92" s="279"/>
      <c r="G92" s="279"/>
      <c r="H92" s="279"/>
      <c r="I92" s="279"/>
      <c r="J92" s="279"/>
      <c r="K92" s="279"/>
      <c r="L92" s="279"/>
      <c r="M92" s="279"/>
    </row>
    <row r="93" spans="1:39" ht="16.899999999999999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</row>
    <row r="94" spans="1:39" ht="16.899999999999999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</row>
    <row r="95" spans="1:39" ht="16.899999999999999">
      <c r="A95" s="154" t="str">
        <f>VLOOKUP("Anwendungstechnik",Sprachindex!A:Z,Info!$O$6,FALSE)</f>
        <v>Anwendungstechnik</v>
      </c>
      <c r="B95" s="155"/>
      <c r="C95" s="155"/>
      <c r="D95" s="263"/>
      <c r="E95" s="263"/>
      <c r="F95" s="263"/>
      <c r="G95" s="263"/>
      <c r="H95" s="263"/>
      <c r="I95" s="263"/>
      <c r="J95" s="263"/>
      <c r="K95" s="156" t="str">
        <f>VLOOKUP("Stand:",Sprachindex!A:Z,Info!$O$6,FALSE)</f>
        <v>Stand:</v>
      </c>
      <c r="L95" s="281">
        <v>43182</v>
      </c>
      <c r="M95" s="282"/>
      <c r="O95" s="12" t="str">
        <f>VLOOKUP("Vielen Dank für Ihre Mengenermittlung",Sprachindex!A:Z,Info!$O$6,FALSE)</f>
        <v>Vielen Dank für Ihre Mengenermittlung</v>
      </c>
    </row>
    <row r="96" spans="1:39" ht="13.5"/>
    <row r="97" ht="13.5" hidden="1"/>
    <row r="98" ht="13.5" hidden="1"/>
    <row r="99" ht="13.5" hidden="1"/>
    <row r="100" ht="13.5" hidden="1"/>
    <row r="101" ht="13.5" hidden="1"/>
    <row r="102" ht="13.5" hidden="1"/>
    <row r="103" ht="13.5" hidden="1"/>
    <row r="104" ht="13.5" hidden="1"/>
    <row r="105" ht="14.25" hidden="1" customHeight="1"/>
    <row r="106" ht="14.25" hidden="1" customHeight="1"/>
    <row r="107" ht="14.25" hidden="1" customHeight="1"/>
  </sheetData>
  <sheetProtection algorithmName="SHA-512" hashValue="SvEwtlW5DwqNg5JUO9LgBLYak6R4BmjdqFafNRuuSxeO6sjqjWHJH9evKmmPAFvgdJnD8hQJwvrqiKRNVDIT+w==" saltValue="rTKR0G2rfJDEgdSbv5Nqgg==" spinCount="100000" sheet="1" objects="1" scenarios="1" selectLockedCells="1" autoFilter="0"/>
  <protectedRanges>
    <protectedRange password="DEBF" sqref="Q28" name="darf vom Benutzer nicht verändert werden_1"/>
    <protectedRange password="DEBF" sqref="P28" name="darf vom Benutzer nicht verändert werden_1_5_2_1"/>
    <protectedRange password="DEBF" sqref="Q29" name="darf vom Benutzer nicht verändert werden_1_4"/>
    <protectedRange password="DEBF" sqref="P29" name="darf vom Benutzer nicht verändert werden_1_5_2_4"/>
    <protectedRange password="DEBF" sqref="P30:Q30" name="darf vom Benutzer nicht verändert werden_1_5_2_5"/>
    <protectedRange password="DEBF" sqref="P82:Q83" name="darf vom Benutzer nicht verändert werden_1_5"/>
    <protectedRange password="DEBF" sqref="P80" name="darf vom Benutzer nicht verändert werden_1_5_2_6"/>
    <protectedRange password="DEBF" sqref="R82:R83" name="darf vom Benutzer nicht verändert werden_1_12"/>
    <protectedRange password="DEBF" sqref="P31:Q43" name="darf vom Benutzer nicht verändert werden_1_5_3"/>
    <protectedRange password="DEBF" sqref="P44:Q55" name="darf vom Benutzer nicht verändert werden_1_5_4"/>
    <protectedRange password="DEBF" sqref="P56:Q62" name="darf vom Benutzer nicht verändert werden_1_5_5"/>
    <protectedRange password="DEBF" sqref="P63:Q79 Q80" name="darf vom Benutzer nicht verändert werden_1_5_7"/>
    <protectedRange password="DEBF" sqref="P81:Q81" name="darf vom Benutzer nicht verändert werden_1_5_9"/>
    <protectedRange password="DEBF" sqref="P84:Q86" name="darf vom Benutzer nicht verändert werden_1_5_10"/>
    <protectedRange password="DEBF" sqref="P27:Q27" name="darf vom Benutzer nicht verändert werden_1_2"/>
  </protectedRanges>
  <autoFilter ref="A22:A86"/>
  <mergeCells count="91">
    <mergeCell ref="D95:J95"/>
    <mergeCell ref="E83:G83"/>
    <mergeCell ref="E84:K84"/>
    <mergeCell ref="E85:K85"/>
    <mergeCell ref="E86:K86"/>
    <mergeCell ref="D91:M92"/>
    <mergeCell ref="D89:M90"/>
    <mergeCell ref="D87:M88"/>
    <mergeCell ref="L95:M95"/>
    <mergeCell ref="E82:H82"/>
    <mergeCell ref="I82:K82"/>
    <mergeCell ref="E71:K71"/>
    <mergeCell ref="E72:K72"/>
    <mergeCell ref="E73:K73"/>
    <mergeCell ref="E74:K74"/>
    <mergeCell ref="E75:K75"/>
    <mergeCell ref="E76:K76"/>
    <mergeCell ref="E77:K77"/>
    <mergeCell ref="E78:K78"/>
    <mergeCell ref="E79:K79"/>
    <mergeCell ref="E80:K80"/>
    <mergeCell ref="E81:K81"/>
    <mergeCell ref="E70:K70"/>
    <mergeCell ref="E59:K59"/>
    <mergeCell ref="E60:K60"/>
    <mergeCell ref="E61:K61"/>
    <mergeCell ref="E62:K62"/>
    <mergeCell ref="E63:K63"/>
    <mergeCell ref="E64:K64"/>
    <mergeCell ref="E65:K65"/>
    <mergeCell ref="E66:K66"/>
    <mergeCell ref="E67:K67"/>
    <mergeCell ref="E68:K68"/>
    <mergeCell ref="E69:K69"/>
    <mergeCell ref="E46:H46"/>
    <mergeCell ref="J46:K46"/>
    <mergeCell ref="E58:K58"/>
    <mergeCell ref="E47:K47"/>
    <mergeCell ref="E48:K48"/>
    <mergeCell ref="E49:K49"/>
    <mergeCell ref="E50:K50"/>
    <mergeCell ref="E51:K51"/>
    <mergeCell ref="E52:K52"/>
    <mergeCell ref="E53:K53"/>
    <mergeCell ref="E54:K54"/>
    <mergeCell ref="E55:K55"/>
    <mergeCell ref="E56:K56"/>
    <mergeCell ref="E57:K57"/>
    <mergeCell ref="E42:G42"/>
    <mergeCell ref="H42:K42"/>
    <mergeCell ref="E43:K43"/>
    <mergeCell ref="E44:H44"/>
    <mergeCell ref="E45:H45"/>
    <mergeCell ref="J45:K45"/>
    <mergeCell ref="E32:G32"/>
    <mergeCell ref="H32:K32"/>
    <mergeCell ref="E33:K33"/>
    <mergeCell ref="E34:K34"/>
    <mergeCell ref="E41:G41"/>
    <mergeCell ref="H41:K41"/>
    <mergeCell ref="E37:K37"/>
    <mergeCell ref="E38:K38"/>
    <mergeCell ref="E39:K39"/>
    <mergeCell ref="E40:K40"/>
    <mergeCell ref="E36:K36"/>
    <mergeCell ref="E29:G29"/>
    <mergeCell ref="H29:K29"/>
    <mergeCell ref="E30:G30"/>
    <mergeCell ref="H30:K30"/>
    <mergeCell ref="E31:K31"/>
    <mergeCell ref="C8:E8"/>
    <mergeCell ref="C9:E9"/>
    <mergeCell ref="K5:M5"/>
    <mergeCell ref="K4:M4"/>
    <mergeCell ref="K6:M6"/>
    <mergeCell ref="E23:K23"/>
    <mergeCell ref="E24:K24"/>
    <mergeCell ref="E25:K25"/>
    <mergeCell ref="E35:K35"/>
    <mergeCell ref="C10:E10"/>
    <mergeCell ref="E26:K26"/>
    <mergeCell ref="C12:E12"/>
    <mergeCell ref="C13:E13"/>
    <mergeCell ref="C14:E14"/>
    <mergeCell ref="C17:E17"/>
    <mergeCell ref="C18:E18"/>
    <mergeCell ref="C19:E19"/>
    <mergeCell ref="C20:E20"/>
    <mergeCell ref="B22:E22"/>
    <mergeCell ref="E27:K27"/>
    <mergeCell ref="E28:K28"/>
  </mergeCells>
  <conditionalFormatting sqref="J20:K20">
    <cfRule type="expression" dxfId="873" priority="350">
      <formula>$N$20=10</formula>
    </cfRule>
  </conditionalFormatting>
  <conditionalFormatting sqref="I20:I21">
    <cfRule type="expression" dxfId="872" priority="351">
      <formula>$N$20=10</formula>
    </cfRule>
  </conditionalFormatting>
  <conditionalFormatting sqref="K4">
    <cfRule type="cellIs" dxfId="871" priority="335" operator="equal">
      <formula>""</formula>
    </cfRule>
  </conditionalFormatting>
  <conditionalFormatting sqref="K5">
    <cfRule type="cellIs" dxfId="870" priority="334" operator="equal">
      <formula>""</formula>
    </cfRule>
  </conditionalFormatting>
  <conditionalFormatting sqref="K6">
    <cfRule type="cellIs" dxfId="869" priority="333" operator="equal">
      <formula>""</formula>
    </cfRule>
  </conditionalFormatting>
  <conditionalFormatting sqref="C8:E8">
    <cfRule type="cellIs" dxfId="868" priority="332" operator="equal">
      <formula>""</formula>
    </cfRule>
  </conditionalFormatting>
  <conditionalFormatting sqref="C9:E9">
    <cfRule type="cellIs" dxfId="867" priority="331" operator="equal">
      <formula>""</formula>
    </cfRule>
  </conditionalFormatting>
  <conditionalFormatting sqref="C10:E10">
    <cfRule type="cellIs" dxfId="866" priority="330" operator="equal">
      <formula>""</formula>
    </cfRule>
  </conditionalFormatting>
  <conditionalFormatting sqref="C12:E12">
    <cfRule type="cellIs" dxfId="865" priority="329" operator="equal">
      <formula>""</formula>
    </cfRule>
  </conditionalFormatting>
  <conditionalFormatting sqref="C13:E13">
    <cfRule type="cellIs" dxfId="864" priority="328" operator="equal">
      <formula>""</formula>
    </cfRule>
  </conditionalFormatting>
  <conditionalFormatting sqref="C14:E14">
    <cfRule type="cellIs" dxfId="863" priority="327" operator="equal">
      <formula>""</formula>
    </cfRule>
  </conditionalFormatting>
  <conditionalFormatting sqref="C17:E17">
    <cfRule type="cellIs" dxfId="862" priority="326" operator="equal">
      <formula>""</formula>
    </cfRule>
  </conditionalFormatting>
  <conditionalFormatting sqref="C18:E18">
    <cfRule type="cellIs" dxfId="861" priority="325" operator="equal">
      <formula>""</formula>
    </cfRule>
  </conditionalFormatting>
  <conditionalFormatting sqref="C19:E19">
    <cfRule type="cellIs" dxfId="860" priority="324" operator="equal">
      <formula>""</formula>
    </cfRule>
  </conditionalFormatting>
  <conditionalFormatting sqref="C20:E20">
    <cfRule type="cellIs" dxfId="859" priority="323" operator="equal">
      <formula>""</formula>
    </cfRule>
  </conditionalFormatting>
  <conditionalFormatting sqref="A24">
    <cfRule type="cellIs" dxfId="858" priority="319" operator="equal">
      <formula>""</formula>
    </cfRule>
  </conditionalFormatting>
  <conditionalFormatting sqref="A25">
    <cfRule type="cellIs" dxfId="857" priority="318" operator="equal">
      <formula>""</formula>
    </cfRule>
  </conditionalFormatting>
  <conditionalFormatting sqref="A26">
    <cfRule type="cellIs" dxfId="856" priority="317" operator="equal">
      <formula>""</formula>
    </cfRule>
  </conditionalFormatting>
  <conditionalFormatting sqref="A28">
    <cfRule type="cellIs" dxfId="855" priority="316" operator="equal">
      <formula>""</formula>
    </cfRule>
  </conditionalFormatting>
  <conditionalFormatting sqref="A29">
    <cfRule type="cellIs" dxfId="854" priority="315" operator="equal">
      <formula>""</formula>
    </cfRule>
  </conditionalFormatting>
  <conditionalFormatting sqref="A30">
    <cfRule type="cellIs" dxfId="853" priority="314" operator="equal">
      <formula>""</formula>
    </cfRule>
  </conditionalFormatting>
  <conditionalFormatting sqref="A31">
    <cfRule type="cellIs" dxfId="852" priority="313" operator="equal">
      <formula>""</formula>
    </cfRule>
  </conditionalFormatting>
  <conditionalFormatting sqref="A32">
    <cfRule type="cellIs" dxfId="851" priority="312" operator="equal">
      <formula>""</formula>
    </cfRule>
  </conditionalFormatting>
  <conditionalFormatting sqref="A33">
    <cfRule type="cellIs" dxfId="850" priority="311" operator="equal">
      <formula>""</formula>
    </cfRule>
  </conditionalFormatting>
  <conditionalFormatting sqref="A34">
    <cfRule type="cellIs" dxfId="849" priority="310" operator="equal">
      <formula>""</formula>
    </cfRule>
  </conditionalFormatting>
  <conditionalFormatting sqref="A35">
    <cfRule type="cellIs" dxfId="848" priority="309" operator="equal">
      <formula>""</formula>
    </cfRule>
  </conditionalFormatting>
  <conditionalFormatting sqref="A36">
    <cfRule type="cellIs" dxfId="847" priority="308" operator="equal">
      <formula>""</formula>
    </cfRule>
  </conditionalFormatting>
  <conditionalFormatting sqref="A37">
    <cfRule type="cellIs" dxfId="846" priority="307" operator="equal">
      <formula>""</formula>
    </cfRule>
  </conditionalFormatting>
  <conditionalFormatting sqref="A38">
    <cfRule type="cellIs" dxfId="845" priority="306" operator="equal">
      <formula>""</formula>
    </cfRule>
  </conditionalFormatting>
  <conditionalFormatting sqref="A39">
    <cfRule type="cellIs" dxfId="844" priority="305" operator="equal">
      <formula>""</formula>
    </cfRule>
  </conditionalFormatting>
  <conditionalFormatting sqref="A40">
    <cfRule type="cellIs" dxfId="843" priority="304" operator="equal">
      <formula>""</formula>
    </cfRule>
  </conditionalFormatting>
  <conditionalFormatting sqref="A41">
    <cfRule type="cellIs" dxfId="842" priority="303" operator="equal">
      <formula>""</formula>
    </cfRule>
  </conditionalFormatting>
  <conditionalFormatting sqref="A42">
    <cfRule type="cellIs" dxfId="841" priority="302" operator="equal">
      <formula>""</formula>
    </cfRule>
  </conditionalFormatting>
  <conditionalFormatting sqref="A43">
    <cfRule type="cellIs" dxfId="840" priority="301" operator="equal">
      <formula>""</formula>
    </cfRule>
  </conditionalFormatting>
  <conditionalFormatting sqref="A44">
    <cfRule type="cellIs" dxfId="839" priority="300" operator="equal">
      <formula>""</formula>
    </cfRule>
  </conditionalFormatting>
  <conditionalFormatting sqref="A45">
    <cfRule type="cellIs" dxfId="838" priority="298" operator="equal">
      <formula>""</formula>
    </cfRule>
  </conditionalFormatting>
  <conditionalFormatting sqref="A46">
    <cfRule type="cellIs" dxfId="837" priority="296" operator="equal">
      <formula>""</formula>
    </cfRule>
  </conditionalFormatting>
  <conditionalFormatting sqref="A47">
    <cfRule type="cellIs" dxfId="836" priority="295" operator="equal">
      <formula>""</formula>
    </cfRule>
  </conditionalFormatting>
  <conditionalFormatting sqref="A48">
    <cfRule type="cellIs" dxfId="835" priority="294" operator="equal">
      <formula>""</formula>
    </cfRule>
  </conditionalFormatting>
  <conditionalFormatting sqref="A49">
    <cfRule type="cellIs" dxfId="834" priority="293" operator="equal">
      <formula>""</formula>
    </cfRule>
  </conditionalFormatting>
  <conditionalFormatting sqref="A50">
    <cfRule type="cellIs" dxfId="833" priority="292" operator="equal">
      <formula>""</formula>
    </cfRule>
  </conditionalFormatting>
  <conditionalFormatting sqref="A51">
    <cfRule type="cellIs" dxfId="832" priority="291" operator="equal">
      <formula>""</formula>
    </cfRule>
  </conditionalFormatting>
  <conditionalFormatting sqref="A52">
    <cfRule type="cellIs" dxfId="831" priority="290" operator="equal">
      <formula>""</formula>
    </cfRule>
  </conditionalFormatting>
  <conditionalFormatting sqref="A53">
    <cfRule type="cellIs" dxfId="830" priority="289" operator="equal">
      <formula>""</formula>
    </cfRule>
  </conditionalFormatting>
  <conditionalFormatting sqref="A54">
    <cfRule type="cellIs" dxfId="829" priority="288" operator="equal">
      <formula>""</formula>
    </cfRule>
  </conditionalFormatting>
  <conditionalFormatting sqref="A56">
    <cfRule type="cellIs" dxfId="828" priority="287" operator="equal">
      <formula>""</formula>
    </cfRule>
  </conditionalFormatting>
  <conditionalFormatting sqref="A55">
    <cfRule type="cellIs" dxfId="827" priority="286" operator="equal">
      <formula>""</formula>
    </cfRule>
  </conditionalFormatting>
  <conditionalFormatting sqref="A57">
    <cfRule type="cellIs" dxfId="826" priority="285" operator="equal">
      <formula>""</formula>
    </cfRule>
  </conditionalFormatting>
  <conditionalFormatting sqref="A58">
    <cfRule type="cellIs" dxfId="825" priority="284" operator="equal">
      <formula>""</formula>
    </cfRule>
  </conditionalFormatting>
  <conditionalFormatting sqref="A59">
    <cfRule type="cellIs" dxfId="824" priority="283" operator="equal">
      <formula>""</formula>
    </cfRule>
  </conditionalFormatting>
  <conditionalFormatting sqref="A60">
    <cfRule type="cellIs" dxfId="823" priority="282" operator="equal">
      <formula>""</formula>
    </cfRule>
  </conditionalFormatting>
  <conditionalFormatting sqref="A61">
    <cfRule type="cellIs" dxfId="822" priority="281" operator="equal">
      <formula>""</formula>
    </cfRule>
  </conditionalFormatting>
  <conditionalFormatting sqref="A62">
    <cfRule type="cellIs" dxfId="821" priority="280" operator="equal">
      <formula>""</formula>
    </cfRule>
  </conditionalFormatting>
  <conditionalFormatting sqref="A63">
    <cfRule type="cellIs" dxfId="820" priority="279" operator="equal">
      <formula>""</formula>
    </cfRule>
  </conditionalFormatting>
  <conditionalFormatting sqref="A64">
    <cfRule type="cellIs" dxfId="819" priority="278" operator="equal">
      <formula>""</formula>
    </cfRule>
  </conditionalFormatting>
  <conditionalFormatting sqref="A65">
    <cfRule type="cellIs" dxfId="818" priority="277" operator="equal">
      <formula>""</formula>
    </cfRule>
  </conditionalFormatting>
  <conditionalFormatting sqref="A66">
    <cfRule type="cellIs" dxfId="817" priority="276" operator="equal">
      <formula>""</formula>
    </cfRule>
  </conditionalFormatting>
  <conditionalFormatting sqref="A67">
    <cfRule type="cellIs" dxfId="816" priority="275" operator="equal">
      <formula>""</formula>
    </cfRule>
  </conditionalFormatting>
  <conditionalFormatting sqref="A69">
    <cfRule type="cellIs" dxfId="815" priority="274" operator="equal">
      <formula>""</formula>
    </cfRule>
  </conditionalFormatting>
  <conditionalFormatting sqref="A68">
    <cfRule type="cellIs" dxfId="814" priority="273" operator="equal">
      <formula>""</formula>
    </cfRule>
  </conditionalFormatting>
  <conditionalFormatting sqref="A70">
    <cfRule type="cellIs" dxfId="813" priority="272" operator="equal">
      <formula>""</formula>
    </cfRule>
  </conditionalFormatting>
  <conditionalFormatting sqref="A72">
    <cfRule type="cellIs" dxfId="812" priority="271" operator="equal">
      <formula>""</formula>
    </cfRule>
  </conditionalFormatting>
  <conditionalFormatting sqref="A71">
    <cfRule type="cellIs" dxfId="811" priority="270" operator="equal">
      <formula>""</formula>
    </cfRule>
  </conditionalFormatting>
  <conditionalFormatting sqref="A73">
    <cfRule type="cellIs" dxfId="810" priority="269" operator="equal">
      <formula>""</formula>
    </cfRule>
  </conditionalFormatting>
  <conditionalFormatting sqref="A74">
    <cfRule type="cellIs" dxfId="809" priority="268" operator="equal">
      <formula>""</formula>
    </cfRule>
  </conditionalFormatting>
  <conditionalFormatting sqref="A75">
    <cfRule type="cellIs" dxfId="808" priority="267" operator="equal">
      <formula>""</formula>
    </cfRule>
  </conditionalFormatting>
  <conditionalFormatting sqref="A76">
    <cfRule type="cellIs" dxfId="807" priority="266" operator="equal">
      <formula>""</formula>
    </cfRule>
  </conditionalFormatting>
  <conditionalFormatting sqref="A77">
    <cfRule type="cellIs" dxfId="806" priority="265" operator="equal">
      <formula>""</formula>
    </cfRule>
  </conditionalFormatting>
  <conditionalFormatting sqref="A78">
    <cfRule type="cellIs" dxfId="805" priority="264" operator="equal">
      <formula>""</formula>
    </cfRule>
  </conditionalFormatting>
  <conditionalFormatting sqref="A79">
    <cfRule type="cellIs" dxfId="804" priority="263" operator="equal">
      <formula>""</formula>
    </cfRule>
  </conditionalFormatting>
  <conditionalFormatting sqref="A80">
    <cfRule type="cellIs" dxfId="803" priority="262" operator="equal">
      <formula>""</formula>
    </cfRule>
  </conditionalFormatting>
  <conditionalFormatting sqref="A81">
    <cfRule type="cellIs" dxfId="802" priority="261" operator="equal">
      <formula>""</formula>
    </cfRule>
  </conditionalFormatting>
  <conditionalFormatting sqref="A82">
    <cfRule type="cellIs" dxfId="801" priority="260" operator="equal">
      <formula>""</formula>
    </cfRule>
  </conditionalFormatting>
  <conditionalFormatting sqref="A83">
    <cfRule type="cellIs" dxfId="800" priority="259" operator="equal">
      <formula>""</formula>
    </cfRule>
  </conditionalFormatting>
  <conditionalFormatting sqref="A84">
    <cfRule type="cellIs" dxfId="799" priority="257" operator="equal">
      <formula>""</formula>
    </cfRule>
  </conditionalFormatting>
  <conditionalFormatting sqref="A85">
    <cfRule type="cellIs" dxfId="798" priority="256" operator="equal">
      <formula>""</formula>
    </cfRule>
  </conditionalFormatting>
  <conditionalFormatting sqref="A86">
    <cfRule type="cellIs" dxfId="797" priority="255" operator="equal">
      <formula>""</formula>
    </cfRule>
  </conditionalFormatting>
  <conditionalFormatting sqref="B85">
    <cfRule type="cellIs" dxfId="796" priority="254" operator="equal">
      <formula>""</formula>
    </cfRule>
  </conditionalFormatting>
  <conditionalFormatting sqref="B84">
    <cfRule type="cellIs" dxfId="795" priority="253" operator="equal">
      <formula>""</formula>
    </cfRule>
  </conditionalFormatting>
  <conditionalFormatting sqref="B86">
    <cfRule type="cellIs" dxfId="794" priority="252" operator="equal">
      <formula>""</formula>
    </cfRule>
  </conditionalFormatting>
  <conditionalFormatting sqref="C86">
    <cfRule type="cellIs" dxfId="793" priority="251" operator="equal">
      <formula>""</formula>
    </cfRule>
  </conditionalFormatting>
  <conditionalFormatting sqref="C85">
    <cfRule type="cellIs" dxfId="792" priority="250" operator="equal">
      <formula>""</formula>
    </cfRule>
  </conditionalFormatting>
  <conditionalFormatting sqref="C84">
    <cfRule type="cellIs" dxfId="791" priority="249" operator="equal">
      <formula>""</formula>
    </cfRule>
  </conditionalFormatting>
  <conditionalFormatting sqref="E84">
    <cfRule type="cellIs" dxfId="790" priority="248" operator="equal">
      <formula>""</formula>
    </cfRule>
  </conditionalFormatting>
  <conditionalFormatting sqref="E85">
    <cfRule type="cellIs" dxfId="789" priority="247" operator="equal">
      <formula>""</formula>
    </cfRule>
  </conditionalFormatting>
  <conditionalFormatting sqref="E86">
    <cfRule type="cellIs" dxfId="788" priority="246" operator="equal">
      <formula>""</formula>
    </cfRule>
  </conditionalFormatting>
  <conditionalFormatting sqref="L86">
    <cfRule type="cellIs" dxfId="787" priority="245" operator="equal">
      <formula>""</formula>
    </cfRule>
  </conditionalFormatting>
  <conditionalFormatting sqref="L85">
    <cfRule type="cellIs" dxfId="786" priority="244" operator="equal">
      <formula>""</formula>
    </cfRule>
  </conditionalFormatting>
  <conditionalFormatting sqref="L84">
    <cfRule type="cellIs" dxfId="785" priority="243" operator="equal">
      <formula>""</formula>
    </cfRule>
  </conditionalFormatting>
  <conditionalFormatting sqref="M84">
    <cfRule type="cellIs" dxfId="784" priority="242" operator="equal">
      <formula>""</formula>
    </cfRule>
  </conditionalFormatting>
  <conditionalFormatting sqref="M85">
    <cfRule type="cellIs" dxfId="783" priority="241" operator="equal">
      <formula>""</formula>
    </cfRule>
  </conditionalFormatting>
  <conditionalFormatting sqref="M86">
    <cfRule type="cellIs" dxfId="782" priority="240" operator="equal">
      <formula>""</formula>
    </cfRule>
  </conditionalFormatting>
  <conditionalFormatting sqref="A27">
    <cfRule type="cellIs" dxfId="781" priority="201" operator="equal">
      <formula>""</formula>
    </cfRule>
  </conditionalFormatting>
  <conditionalFormatting sqref="D86">
    <cfRule type="cellIs" dxfId="780" priority="200" operator="equal">
      <formula>""</formula>
    </cfRule>
  </conditionalFormatting>
  <conditionalFormatting sqref="D85">
    <cfRule type="cellIs" dxfId="779" priority="199" operator="equal">
      <formula>""</formula>
    </cfRule>
  </conditionalFormatting>
  <conditionalFormatting sqref="D84">
    <cfRule type="cellIs" dxfId="778" priority="198" operator="equal">
      <formula>""</formula>
    </cfRule>
  </conditionalFormatting>
  <conditionalFormatting sqref="T25:AB25">
    <cfRule type="duplicateValues" dxfId="777" priority="197"/>
  </conditionalFormatting>
  <conditionalFormatting sqref="AC25">
    <cfRule type="duplicateValues" dxfId="776" priority="196"/>
  </conditionalFormatting>
  <conditionalFormatting sqref="AM25">
    <cfRule type="duplicateValues" dxfId="775" priority="195"/>
  </conditionalFormatting>
  <conditionalFormatting sqref="AD25:AL25">
    <cfRule type="duplicateValues" dxfId="774" priority="194"/>
  </conditionalFormatting>
  <conditionalFormatting sqref="T24:AB24">
    <cfRule type="duplicateValues" dxfId="773" priority="193"/>
  </conditionalFormatting>
  <conditionalFormatting sqref="AC24">
    <cfRule type="duplicateValues" dxfId="772" priority="192"/>
  </conditionalFormatting>
  <conditionalFormatting sqref="AM24">
    <cfRule type="duplicateValues" dxfId="771" priority="191"/>
  </conditionalFormatting>
  <conditionalFormatting sqref="AD24:AL24">
    <cfRule type="duplicateValues" dxfId="770" priority="190"/>
  </conditionalFormatting>
  <conditionalFormatting sqref="T26:AB26">
    <cfRule type="duplicateValues" dxfId="769" priority="189"/>
  </conditionalFormatting>
  <conditionalFormatting sqref="AD26:AL26">
    <cfRule type="duplicateValues" dxfId="768" priority="188"/>
  </conditionalFormatting>
  <conditionalFormatting sqref="AC26">
    <cfRule type="duplicateValues" dxfId="767" priority="187"/>
  </conditionalFormatting>
  <conditionalFormatting sqref="AM26">
    <cfRule type="duplicateValues" dxfId="766" priority="186"/>
  </conditionalFormatting>
  <conditionalFormatting sqref="Y31:AC31 T31:W31">
    <cfRule type="duplicateValues" dxfId="765" priority="185"/>
  </conditionalFormatting>
  <conditionalFormatting sqref="T41">
    <cfRule type="duplicateValues" dxfId="764" priority="184"/>
  </conditionalFormatting>
  <conditionalFormatting sqref="Y41">
    <cfRule type="duplicateValues" dxfId="763" priority="183"/>
  </conditionalFormatting>
  <conditionalFormatting sqref="V41">
    <cfRule type="duplicateValues" dxfId="762" priority="182"/>
  </conditionalFormatting>
  <conditionalFormatting sqref="U41">
    <cfRule type="duplicateValues" dxfId="761" priority="181"/>
  </conditionalFormatting>
  <conditionalFormatting sqref="AA41">
    <cfRule type="duplicateValues" dxfId="760" priority="180"/>
  </conditionalFormatting>
  <conditionalFormatting sqref="Z41">
    <cfRule type="duplicateValues" dxfId="759" priority="179"/>
  </conditionalFormatting>
  <conditionalFormatting sqref="W41">
    <cfRule type="duplicateValues" dxfId="758" priority="178"/>
  </conditionalFormatting>
  <conditionalFormatting sqref="AC41">
    <cfRule type="duplicateValues" dxfId="757" priority="177"/>
  </conditionalFormatting>
  <conditionalFormatting sqref="T34:AB34 AD34:AL34">
    <cfRule type="duplicateValues" dxfId="756" priority="170"/>
  </conditionalFormatting>
  <conditionalFormatting sqref="AC34">
    <cfRule type="duplicateValues" dxfId="755" priority="169"/>
  </conditionalFormatting>
  <conditionalFormatting sqref="AD35:AL35 T35:AB35">
    <cfRule type="duplicateValues" dxfId="754" priority="171"/>
  </conditionalFormatting>
  <conditionalFormatting sqref="T36:AL36">
    <cfRule type="duplicateValues" dxfId="753" priority="172"/>
  </conditionalFormatting>
  <conditionalFormatting sqref="T37:AM37">
    <cfRule type="duplicateValues" dxfId="752" priority="173"/>
  </conditionalFormatting>
  <conditionalFormatting sqref="AD39:AM39">
    <cfRule type="duplicateValues" dxfId="751" priority="165"/>
  </conditionalFormatting>
  <conditionalFormatting sqref="T39:AC39">
    <cfRule type="duplicateValues" dxfId="750" priority="175"/>
  </conditionalFormatting>
  <conditionalFormatting sqref="AD40:AL40">
    <cfRule type="duplicateValues" dxfId="749" priority="164"/>
  </conditionalFormatting>
  <conditionalFormatting sqref="AC40">
    <cfRule type="duplicateValues" dxfId="748" priority="163"/>
  </conditionalFormatting>
  <conditionalFormatting sqref="AM40">
    <cfRule type="duplicateValues" dxfId="747" priority="162"/>
  </conditionalFormatting>
  <conditionalFormatting sqref="T40:AB40">
    <cfRule type="duplicateValues" dxfId="746" priority="176"/>
  </conditionalFormatting>
  <conditionalFormatting sqref="T42">
    <cfRule type="duplicateValues" dxfId="745" priority="161"/>
  </conditionalFormatting>
  <conditionalFormatting sqref="W42">
    <cfRule type="duplicateValues" dxfId="744" priority="160"/>
  </conditionalFormatting>
  <conditionalFormatting sqref="V42">
    <cfRule type="duplicateValues" dxfId="743" priority="159"/>
  </conditionalFormatting>
  <conditionalFormatting sqref="U42">
    <cfRule type="duplicateValues" dxfId="742" priority="158"/>
  </conditionalFormatting>
  <conditionalFormatting sqref="Y42">
    <cfRule type="duplicateValues" dxfId="741" priority="157"/>
  </conditionalFormatting>
  <conditionalFormatting sqref="AA42">
    <cfRule type="duplicateValues" dxfId="740" priority="156"/>
  </conditionalFormatting>
  <conditionalFormatting sqref="Z42">
    <cfRule type="duplicateValues" dxfId="739" priority="155"/>
  </conditionalFormatting>
  <conditionalFormatting sqref="AC42">
    <cfRule type="duplicateValues" dxfId="738" priority="154"/>
  </conditionalFormatting>
  <conditionalFormatting sqref="T43">
    <cfRule type="duplicateValues" dxfId="737" priority="153"/>
  </conditionalFormatting>
  <conditionalFormatting sqref="U43">
    <cfRule type="duplicateValues" dxfId="736" priority="152"/>
  </conditionalFormatting>
  <conditionalFormatting sqref="V43">
    <cfRule type="duplicateValues" dxfId="735" priority="151"/>
  </conditionalFormatting>
  <conditionalFormatting sqref="W43">
    <cfRule type="duplicateValues" dxfId="734" priority="150"/>
  </conditionalFormatting>
  <conditionalFormatting sqref="X43">
    <cfRule type="duplicateValues" dxfId="733" priority="149"/>
  </conditionalFormatting>
  <conditionalFormatting sqref="Y43">
    <cfRule type="duplicateValues" dxfId="732" priority="148"/>
  </conditionalFormatting>
  <conditionalFormatting sqref="Z43">
    <cfRule type="duplicateValues" dxfId="731" priority="147"/>
  </conditionalFormatting>
  <conditionalFormatting sqref="AA43">
    <cfRule type="duplicateValues" dxfId="730" priority="146"/>
  </conditionalFormatting>
  <conditionalFormatting sqref="AB43">
    <cfRule type="duplicateValues" dxfId="729" priority="145"/>
  </conditionalFormatting>
  <conditionalFormatting sqref="AC43">
    <cfRule type="duplicateValues" dxfId="728" priority="144"/>
  </conditionalFormatting>
  <conditionalFormatting sqref="AD45:AL45">
    <cfRule type="duplicateValues" dxfId="727" priority="140"/>
  </conditionalFormatting>
  <conditionalFormatting sqref="T45:AB45">
    <cfRule type="duplicateValues" dxfId="726" priority="141"/>
  </conditionalFormatting>
  <conditionalFormatting sqref="AX45:BF45">
    <cfRule type="duplicateValues" dxfId="725" priority="138"/>
  </conditionalFormatting>
  <conditionalFormatting sqref="AN45:AV45">
    <cfRule type="duplicateValues" dxfId="724" priority="139"/>
  </conditionalFormatting>
  <conditionalFormatting sqref="BR45:BZ45">
    <cfRule type="duplicateValues" dxfId="723" priority="136"/>
  </conditionalFormatting>
  <conditionalFormatting sqref="BI45:BP45">
    <cfRule type="duplicateValues" dxfId="722" priority="137"/>
  </conditionalFormatting>
  <conditionalFormatting sqref="CC45:CJ45">
    <cfRule type="duplicateValues" dxfId="721" priority="142"/>
  </conditionalFormatting>
  <conditionalFormatting sqref="CL45:CT45">
    <cfRule type="duplicateValues" dxfId="720" priority="143"/>
  </conditionalFormatting>
  <conditionalFormatting sqref="CW45:DD45">
    <cfRule type="duplicateValues" dxfId="719" priority="134"/>
  </conditionalFormatting>
  <conditionalFormatting sqref="DF45:DN45">
    <cfRule type="duplicateValues" dxfId="718" priority="135"/>
  </conditionalFormatting>
  <conditionalFormatting sqref="DQ45:DX45">
    <cfRule type="duplicateValues" dxfId="717" priority="133"/>
  </conditionalFormatting>
  <conditionalFormatting sqref="DZ45:EH45">
    <cfRule type="duplicateValues" dxfId="716" priority="132"/>
  </conditionalFormatting>
  <conditionalFormatting sqref="EK45:ER45">
    <cfRule type="duplicateValues" dxfId="715" priority="131"/>
  </conditionalFormatting>
  <conditionalFormatting sqref="ET45:FB45">
    <cfRule type="duplicateValues" dxfId="714" priority="130"/>
  </conditionalFormatting>
  <conditionalFormatting sqref="FE45:FL45">
    <cfRule type="duplicateValues" dxfId="713" priority="129"/>
  </conditionalFormatting>
  <conditionalFormatting sqref="FN45:FV45">
    <cfRule type="duplicateValues" dxfId="712" priority="128"/>
  </conditionalFormatting>
  <conditionalFormatting sqref="FY45:GF45">
    <cfRule type="duplicateValues" dxfId="711" priority="127"/>
  </conditionalFormatting>
  <conditionalFormatting sqref="GH45:GP45">
    <cfRule type="duplicateValues" dxfId="710" priority="126"/>
  </conditionalFormatting>
  <conditionalFormatting sqref="GS45:GZ45">
    <cfRule type="duplicateValues" dxfId="709" priority="125"/>
  </conditionalFormatting>
  <conditionalFormatting sqref="HB45:HJ45">
    <cfRule type="duplicateValues" dxfId="708" priority="124"/>
  </conditionalFormatting>
  <conditionalFormatting sqref="HM45:HT45">
    <cfRule type="duplicateValues" dxfId="707" priority="123"/>
  </conditionalFormatting>
  <conditionalFormatting sqref="HV45:ID45">
    <cfRule type="duplicateValues" dxfId="706" priority="122"/>
  </conditionalFormatting>
  <conditionalFormatting sqref="IG45:IN45">
    <cfRule type="duplicateValues" dxfId="705" priority="121"/>
  </conditionalFormatting>
  <conditionalFormatting sqref="IP45:IX45">
    <cfRule type="duplicateValues" dxfId="704" priority="120"/>
  </conditionalFormatting>
  <conditionalFormatting sqref="JA45:JH45">
    <cfRule type="duplicateValues" dxfId="703" priority="119"/>
  </conditionalFormatting>
  <conditionalFormatting sqref="JJ45:JR45">
    <cfRule type="duplicateValues" dxfId="702" priority="118"/>
  </conditionalFormatting>
  <conditionalFormatting sqref="JU45:KB45">
    <cfRule type="duplicateValues" dxfId="701" priority="117"/>
  </conditionalFormatting>
  <conditionalFormatting sqref="KD45:KL45">
    <cfRule type="duplicateValues" dxfId="700" priority="116"/>
  </conditionalFormatting>
  <conditionalFormatting sqref="KX45:LF45">
    <cfRule type="duplicateValues" dxfId="699" priority="115"/>
  </conditionalFormatting>
  <conditionalFormatting sqref="KO45:KV45">
    <cfRule type="duplicateValues" dxfId="698" priority="114"/>
  </conditionalFormatting>
  <conditionalFormatting sqref="LI45:LP45">
    <cfRule type="duplicateValues" dxfId="697" priority="113"/>
  </conditionalFormatting>
  <conditionalFormatting sqref="LR45:LZ45">
    <cfRule type="duplicateValues" dxfId="696" priority="112"/>
  </conditionalFormatting>
  <conditionalFormatting sqref="MC45:MJ45">
    <cfRule type="duplicateValues" dxfId="695" priority="111"/>
  </conditionalFormatting>
  <conditionalFormatting sqref="ML45:MT45">
    <cfRule type="duplicateValues" dxfId="694" priority="110"/>
  </conditionalFormatting>
  <conditionalFormatting sqref="MW45:ND45">
    <cfRule type="duplicateValues" dxfId="693" priority="109"/>
  </conditionalFormatting>
  <conditionalFormatting sqref="NF45:NN45">
    <cfRule type="duplicateValues" dxfId="692" priority="108"/>
  </conditionalFormatting>
  <conditionalFormatting sqref="NQ45:NX45">
    <cfRule type="duplicateValues" dxfId="691" priority="107"/>
  </conditionalFormatting>
  <conditionalFormatting sqref="NZ45:OH45">
    <cfRule type="duplicateValues" dxfId="690" priority="106"/>
  </conditionalFormatting>
  <conditionalFormatting sqref="OK45:OR45">
    <cfRule type="duplicateValues" dxfId="689" priority="105"/>
  </conditionalFormatting>
  <conditionalFormatting sqref="OT45:PB45">
    <cfRule type="duplicateValues" dxfId="688" priority="104"/>
  </conditionalFormatting>
  <conditionalFormatting sqref="PE45:PL45">
    <cfRule type="duplicateValues" dxfId="687" priority="103"/>
  </conditionalFormatting>
  <conditionalFormatting sqref="PN45:PV45">
    <cfRule type="duplicateValues" dxfId="686" priority="102"/>
  </conditionalFormatting>
  <conditionalFormatting sqref="AD46:AL46 T46:AB46">
    <cfRule type="duplicateValues" dxfId="685" priority="101"/>
  </conditionalFormatting>
  <conditionalFormatting sqref="BH45">
    <cfRule type="duplicateValues" dxfId="684" priority="100"/>
  </conditionalFormatting>
  <conditionalFormatting sqref="CB45">
    <cfRule type="duplicateValues" dxfId="683" priority="99"/>
  </conditionalFormatting>
  <conditionalFormatting sqref="CV45">
    <cfRule type="duplicateValues" dxfId="682" priority="98"/>
  </conditionalFormatting>
  <conditionalFormatting sqref="DP45">
    <cfRule type="duplicateValues" dxfId="681" priority="97"/>
  </conditionalFormatting>
  <conditionalFormatting sqref="EJ45">
    <cfRule type="duplicateValues" dxfId="680" priority="96"/>
  </conditionalFormatting>
  <conditionalFormatting sqref="FD45">
    <cfRule type="duplicateValues" dxfId="679" priority="95"/>
  </conditionalFormatting>
  <conditionalFormatting sqref="FX45">
    <cfRule type="duplicateValues" dxfId="678" priority="94"/>
  </conditionalFormatting>
  <conditionalFormatting sqref="GR45">
    <cfRule type="duplicateValues" dxfId="677" priority="93"/>
  </conditionalFormatting>
  <conditionalFormatting sqref="HL45">
    <cfRule type="duplicateValues" dxfId="676" priority="92"/>
  </conditionalFormatting>
  <conditionalFormatting sqref="IF45">
    <cfRule type="duplicateValues" dxfId="675" priority="91"/>
  </conditionalFormatting>
  <conditionalFormatting sqref="IZ45">
    <cfRule type="duplicateValues" dxfId="674" priority="90"/>
  </conditionalFormatting>
  <conditionalFormatting sqref="JT45">
    <cfRule type="duplicateValues" dxfId="673" priority="89"/>
  </conditionalFormatting>
  <conditionalFormatting sqref="KN45">
    <cfRule type="duplicateValues" dxfId="672" priority="88"/>
  </conditionalFormatting>
  <conditionalFormatting sqref="LH45">
    <cfRule type="duplicateValues" dxfId="671" priority="87"/>
  </conditionalFormatting>
  <conditionalFormatting sqref="MB45">
    <cfRule type="duplicateValues" dxfId="670" priority="86"/>
  </conditionalFormatting>
  <conditionalFormatting sqref="MV45">
    <cfRule type="duplicateValues" dxfId="669" priority="85"/>
  </conditionalFormatting>
  <conditionalFormatting sqref="NP45">
    <cfRule type="duplicateValues" dxfId="668" priority="84"/>
  </conditionalFormatting>
  <conditionalFormatting sqref="OJ45">
    <cfRule type="duplicateValues" dxfId="667" priority="83"/>
  </conditionalFormatting>
  <conditionalFormatting sqref="PD45">
    <cfRule type="duplicateValues" dxfId="666" priority="82"/>
  </conditionalFormatting>
  <conditionalFormatting sqref="AX46:BF46 AN46:AV46">
    <cfRule type="duplicateValues" dxfId="665" priority="81"/>
  </conditionalFormatting>
  <conditionalFormatting sqref="BR46:BZ46 BH46:BP46">
    <cfRule type="duplicateValues" dxfId="664" priority="80"/>
  </conditionalFormatting>
  <conditionalFormatting sqref="CL46:CT46 CB46:CJ46">
    <cfRule type="duplicateValues" dxfId="663" priority="79"/>
  </conditionalFormatting>
  <conditionalFormatting sqref="DF46:DN46 CV46:DD46">
    <cfRule type="duplicateValues" dxfId="662" priority="78"/>
  </conditionalFormatting>
  <conditionalFormatting sqref="DZ46:EH46 DP46:DX46">
    <cfRule type="duplicateValues" dxfId="661" priority="77"/>
  </conditionalFormatting>
  <conditionalFormatting sqref="ET46:FB46 EJ46:ER46">
    <cfRule type="duplicateValues" dxfId="660" priority="76"/>
  </conditionalFormatting>
  <conditionalFormatting sqref="T47:AC47">
    <cfRule type="duplicateValues" dxfId="659" priority="75"/>
  </conditionalFormatting>
  <conditionalFormatting sqref="T48:AC48">
    <cfRule type="duplicateValues" dxfId="658" priority="74"/>
  </conditionalFormatting>
  <conditionalFormatting sqref="T49:AC49">
    <cfRule type="duplicateValues" dxfId="657" priority="73"/>
  </conditionalFormatting>
  <conditionalFormatting sqref="T50:AB50">
    <cfRule type="duplicateValues" dxfId="656" priority="72"/>
  </conditionalFormatting>
  <conditionalFormatting sqref="AC50">
    <cfRule type="duplicateValues" dxfId="655" priority="71"/>
  </conditionalFormatting>
  <conditionalFormatting sqref="T51:AB51">
    <cfRule type="duplicateValues" dxfId="654" priority="70"/>
  </conditionalFormatting>
  <conditionalFormatting sqref="AC51">
    <cfRule type="duplicateValues" dxfId="653" priority="69"/>
  </conditionalFormatting>
  <conditionalFormatting sqref="T52:AB52">
    <cfRule type="duplicateValues" dxfId="652" priority="68"/>
  </conditionalFormatting>
  <conditionalFormatting sqref="AC52">
    <cfRule type="duplicateValues" dxfId="651" priority="67"/>
  </conditionalFormatting>
  <conditionalFormatting sqref="T55:AC55">
    <cfRule type="duplicateValues" dxfId="650" priority="66"/>
  </conditionalFormatting>
  <conditionalFormatting sqref="D44">
    <cfRule type="duplicateValues" dxfId="649" priority="65"/>
  </conditionalFormatting>
  <conditionalFormatting sqref="D53">
    <cfRule type="duplicateValues" dxfId="648" priority="64"/>
  </conditionalFormatting>
  <conditionalFormatting sqref="D54">
    <cfRule type="duplicateValues" dxfId="647" priority="63"/>
  </conditionalFormatting>
  <conditionalFormatting sqref="D61">
    <cfRule type="duplicateValues" dxfId="646" priority="62"/>
  </conditionalFormatting>
  <conditionalFormatting sqref="T56:AB56">
    <cfRule type="duplicateValues" dxfId="645" priority="61"/>
  </conditionalFormatting>
  <conditionalFormatting sqref="AC56">
    <cfRule type="duplicateValues" dxfId="644" priority="60"/>
  </conditionalFormatting>
  <conditionalFormatting sqref="T57:AC57">
    <cfRule type="duplicateValues" dxfId="643" priority="59"/>
  </conditionalFormatting>
  <conditionalFormatting sqref="T58:AC58">
    <cfRule type="duplicateValues" dxfId="642" priority="58"/>
  </conditionalFormatting>
  <conditionalFormatting sqref="T59:AB59">
    <cfRule type="duplicateValues" dxfId="641" priority="57"/>
  </conditionalFormatting>
  <conditionalFormatting sqref="AC59">
    <cfRule type="duplicateValues" dxfId="640" priority="56"/>
  </conditionalFormatting>
  <conditionalFormatting sqref="AC60">
    <cfRule type="duplicateValues" dxfId="639" priority="55"/>
  </conditionalFormatting>
  <conditionalFormatting sqref="T60:AB60">
    <cfRule type="duplicateValues" dxfId="638" priority="54"/>
  </conditionalFormatting>
  <conditionalFormatting sqref="T62:AB62">
    <cfRule type="duplicateValues" dxfId="637" priority="53"/>
  </conditionalFormatting>
  <conditionalFormatting sqref="AD62:AL62">
    <cfRule type="duplicateValues" dxfId="636" priority="52"/>
  </conditionalFormatting>
  <conditionalFormatting sqref="T64:AC64">
    <cfRule type="duplicateValues" dxfId="635" priority="47"/>
  </conditionalFormatting>
  <conditionalFormatting sqref="T67:AC67">
    <cfRule type="duplicateValues" dxfId="634" priority="46"/>
  </conditionalFormatting>
  <conditionalFormatting sqref="T65:AC65">
    <cfRule type="duplicateValues" dxfId="633" priority="48"/>
  </conditionalFormatting>
  <conditionalFormatting sqref="T66:AC66">
    <cfRule type="duplicateValues" dxfId="632" priority="49"/>
  </conditionalFormatting>
  <conditionalFormatting sqref="T68:AB68">
    <cfRule type="duplicateValues" dxfId="631" priority="50"/>
  </conditionalFormatting>
  <conditionalFormatting sqref="T69:AB69">
    <cfRule type="duplicateValues" dxfId="630" priority="45"/>
  </conditionalFormatting>
  <conditionalFormatting sqref="AC69">
    <cfRule type="duplicateValues" dxfId="629" priority="44"/>
  </conditionalFormatting>
  <conditionalFormatting sqref="T70:AC70">
    <cfRule type="duplicateValues" dxfId="628" priority="43"/>
  </conditionalFormatting>
  <conditionalFormatting sqref="U71:AC71">
    <cfRule type="duplicateValues" dxfId="627" priority="42"/>
  </conditionalFormatting>
  <conditionalFormatting sqref="T71">
    <cfRule type="duplicateValues" dxfId="626" priority="41"/>
  </conditionalFormatting>
  <conditionalFormatting sqref="T72:AB72">
    <cfRule type="duplicateValues" dxfId="625" priority="40"/>
  </conditionalFormatting>
  <conditionalFormatting sqref="T73:AB73">
    <cfRule type="duplicateValues" dxfId="624" priority="39"/>
  </conditionalFormatting>
  <conditionalFormatting sqref="T74:AB74">
    <cfRule type="duplicateValues" dxfId="623" priority="38"/>
  </conditionalFormatting>
  <conditionalFormatting sqref="T75:AB75">
    <cfRule type="duplicateValues" dxfId="622" priority="37"/>
  </conditionalFormatting>
  <conditionalFormatting sqref="T76:AB76">
    <cfRule type="duplicateValues" dxfId="621" priority="36"/>
  </conditionalFormatting>
  <conditionalFormatting sqref="AC72">
    <cfRule type="duplicateValues" dxfId="620" priority="35"/>
  </conditionalFormatting>
  <conditionalFormatting sqref="AC73">
    <cfRule type="duplicateValues" dxfId="619" priority="34"/>
  </conditionalFormatting>
  <conditionalFormatting sqref="AC74">
    <cfRule type="duplicateValues" dxfId="618" priority="33"/>
  </conditionalFormatting>
  <conditionalFormatting sqref="AC75">
    <cfRule type="duplicateValues" dxfId="617" priority="32"/>
  </conditionalFormatting>
  <conditionalFormatting sqref="AC76">
    <cfRule type="duplicateValues" dxfId="616" priority="31"/>
  </conditionalFormatting>
  <conditionalFormatting sqref="T78:AB78">
    <cfRule type="duplicateValues" dxfId="615" priority="30"/>
  </conditionalFormatting>
  <conditionalFormatting sqref="AC78">
    <cfRule type="duplicateValues" dxfId="614" priority="29"/>
  </conditionalFormatting>
  <conditionalFormatting sqref="T77:AC77">
    <cfRule type="duplicateValues" dxfId="613" priority="51"/>
  </conditionalFormatting>
  <conditionalFormatting sqref="T79:AB79">
    <cfRule type="duplicateValues" dxfId="612" priority="28"/>
  </conditionalFormatting>
  <conditionalFormatting sqref="AC79">
    <cfRule type="duplicateValues" dxfId="611" priority="27"/>
  </conditionalFormatting>
  <conditionalFormatting sqref="T63:AC63">
    <cfRule type="duplicateValues" dxfId="610" priority="26"/>
  </conditionalFormatting>
  <conditionalFormatting sqref="T82:X82">
    <cfRule type="duplicateValues" dxfId="609" priority="24"/>
  </conditionalFormatting>
  <conditionalFormatting sqref="T38:AC38">
    <cfRule type="duplicateValues" dxfId="608" priority="13"/>
  </conditionalFormatting>
  <conditionalFormatting sqref="AM38">
    <cfRule type="duplicateValues" dxfId="607" priority="12"/>
  </conditionalFormatting>
  <conditionalFormatting sqref="AD38:AL38">
    <cfRule type="duplicateValues" dxfId="606" priority="11"/>
  </conditionalFormatting>
  <conditionalFormatting sqref="T83:AC83">
    <cfRule type="duplicateValues" dxfId="605" priority="8"/>
  </conditionalFormatting>
  <conditionalFormatting sqref="AD83:AG83">
    <cfRule type="duplicateValues" dxfId="604" priority="6"/>
  </conditionalFormatting>
  <conditionalFormatting sqref="AH83:AM83">
    <cfRule type="duplicateValues" dxfId="603" priority="5"/>
  </conditionalFormatting>
  <conditionalFormatting sqref="I12">
    <cfRule type="expression" dxfId="602" priority="1">
      <formula>$N$12=2</formula>
    </cfRule>
    <cfRule type="expression" dxfId="601" priority="4">
      <formula>$N$12=1</formula>
    </cfRule>
  </conditionalFormatting>
  <conditionalFormatting sqref="L12">
    <cfRule type="expression" dxfId="600" priority="2">
      <formula>$N$12=1</formula>
    </cfRule>
    <cfRule type="expression" dxfId="599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3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4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r:id="rId5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352425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r:id="rId6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r:id="rId7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r:id="rId8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r:id="rId9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r:id="rId10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14</xdr:row>
                    <xdr:rowOff>28575</xdr:rowOff>
                  </from>
                  <to>
                    <xdr:col>10</xdr:col>
                    <xdr:colOff>314325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r:id="rId11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r:id="rId12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r:id="rId13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r:id="rId14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r:id="rId15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352425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r:id="rId16" name="Option Button 24">
              <controlPr defaultSize="0" autoFill="0" autoLine="0" autoPict="0">
                <anchor moveWithCells="1">
                  <from>
                    <xdr:col>7</xdr:col>
                    <xdr:colOff>676275</xdr:colOff>
                    <xdr:row>7</xdr:row>
                    <xdr:rowOff>9525</xdr:rowOff>
                  </from>
                  <to>
                    <xdr:col>8</xdr:col>
                    <xdr:colOff>457200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r:id="rId17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r:id="rId18" name="Option Button 27">
              <controlPr defaultSize="0" autoFill="0" autoLine="0" autoPict="0" altText="">
                <anchor moveWithCells="1">
                  <from>
                    <xdr:col>12</xdr:col>
                    <xdr:colOff>95250</xdr:colOff>
                    <xdr:row>13</xdr:row>
                    <xdr:rowOff>114300</xdr:rowOff>
                  </from>
                  <to>
                    <xdr:col>12</xdr:col>
                    <xdr:colOff>142875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6" r:id="rId19" name="Option Button 2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7" r:id="rId20" name="Option Button 29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8" r:id="rId21" name="Option Button 30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5" id="{95CB1E38-AD11-45EF-A335-1B12662BC724}">
            <xm:f>$H$29=Formeln!$A$1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H29:K29</xm:sqref>
        </x14:conditionalFormatting>
        <x14:conditionalFormatting xmlns:xm="http://schemas.microsoft.com/office/excel/2006/main">
          <x14:cfRule type="expression" priority="214" id="{85882960-12D4-481E-BDCC-A263A43E862F}">
            <xm:f>$H$30=Formeln!$A$1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H30:K30</xm:sqref>
        </x14:conditionalFormatting>
        <x14:conditionalFormatting xmlns:xm="http://schemas.microsoft.com/office/excel/2006/main">
          <x14:cfRule type="expression" priority="213" id="{73772E87-E23C-426C-BB28-E5F990997E35}">
            <xm:f>$H$32=Formeln!$A$1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H32:K32</xm:sqref>
        </x14:conditionalFormatting>
        <x14:conditionalFormatting xmlns:xm="http://schemas.microsoft.com/office/excel/2006/main">
          <x14:cfRule type="expression" priority="212" id="{8C0F94B1-38D0-405D-9FE7-10A7BAAEB889}">
            <xm:f>$H$41=Formeln!$A$1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H41:K41</xm:sqref>
        </x14:conditionalFormatting>
        <x14:conditionalFormatting xmlns:xm="http://schemas.microsoft.com/office/excel/2006/main">
          <x14:cfRule type="expression" priority="211" id="{A888820B-8981-450F-8662-0C690125030F}">
            <xm:f>$H$42=Formeln!$A$1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H42:K42</xm:sqref>
        </x14:conditionalFormatting>
        <x14:conditionalFormatting xmlns:xm="http://schemas.microsoft.com/office/excel/2006/main">
          <x14:cfRule type="expression" priority="209" id="{0FD2A70F-DAC4-4BBB-A3E5-D1DB31E9DCCE}">
            <xm:f>$J$45=Formeln!$A$1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J45:K45</xm:sqref>
        </x14:conditionalFormatting>
        <x14:conditionalFormatting xmlns:xm="http://schemas.microsoft.com/office/excel/2006/main">
          <x14:cfRule type="expression" priority="207" id="{7186037C-F5A1-4F6F-BC72-3452C1EB4F51}">
            <xm:f>$J$46=Formeln!$A$1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J46:K46</xm:sqref>
        </x14:conditionalFormatting>
        <x14:conditionalFormatting xmlns:xm="http://schemas.microsoft.com/office/excel/2006/main">
          <x14:cfRule type="expression" priority="206" id="{D9936DED-693B-4573-8515-4E667D8BBD0A}">
            <xm:f>$I$82=Formeln!$A$1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I82:K82</xm:sqref>
        </x14:conditionalFormatting>
        <x14:conditionalFormatting xmlns:xm="http://schemas.microsoft.com/office/excel/2006/main">
          <x14:cfRule type="expression" priority="205" id="{64FD6D0C-1AED-4835-94D1-1FD4838DEAA2}">
            <xm:f>$I$83=Formeln!$A$1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I83</xm:sqref>
        </x14:conditionalFormatting>
        <x14:conditionalFormatting xmlns:xm="http://schemas.microsoft.com/office/excel/2006/main">
          <x14:cfRule type="expression" priority="203" id="{D2225997-6DDF-46CA-BCA7-D227C8F75BC5}">
            <xm:f>$K$83=Formeln!$A$1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Formeln!$A$132:$A$142</xm:f>
          </x14:formula1>
          <xm:sqref>K83</xm:sqref>
        </x14:dataValidation>
        <x14:dataValidation type="list" allowBlank="1" showInputMessage="1" showErrorMessage="1">
          <x14:formula1>
            <xm:f>Formeln!$A$27:$A$48</xm:f>
          </x14:formula1>
          <xm:sqref>J45:K45</xm:sqref>
        </x14:dataValidation>
        <x14:dataValidation type="list" allowBlank="1" showInputMessage="1" showErrorMessage="1">
          <x14:formula1>
            <xm:f>Formeln!$A$20:$A$22</xm:f>
          </x14:formula1>
          <xm:sqref>I83</xm:sqref>
        </x14:dataValidation>
        <x14:dataValidation type="list" allowBlank="1" showInputMessage="1" showErrorMessage="1">
          <x14:formula1>
            <xm:f>Formeln!$A$17:$A$19</xm:f>
          </x14:formula1>
          <xm:sqref>H42:K42</xm:sqref>
        </x14:dataValidation>
        <x14:dataValidation type="list" allowBlank="1" showInputMessage="1" showErrorMessage="1">
          <x14:formula1>
            <xm:f>Formeln!$A$14:$A$16</xm:f>
          </x14:formula1>
          <xm:sqref>H41:K41</xm:sqref>
        </x14:dataValidation>
        <x14:dataValidation type="list" allowBlank="1" showInputMessage="1" showErrorMessage="1">
          <x14:formula1>
            <xm:f>Formeln!$A$9:$A$11</xm:f>
          </x14:formula1>
          <xm:sqref>H32:K32</xm:sqref>
        </x14:dataValidation>
        <x14:dataValidation type="list" allowBlank="1" showInputMessage="1" showErrorMessage="1">
          <x14:formula1>
            <xm:f>Formeln!$A$5:$A$8</xm:f>
          </x14:formula1>
          <xm:sqref>H30:K30</xm:sqref>
        </x14:dataValidation>
        <x14:dataValidation type="list" allowBlank="1" showInputMessage="1" showErrorMessage="1">
          <x14:formula1>
            <xm:f>Formeln!$A$1:$A$4</xm:f>
          </x14:formula1>
          <xm:sqref>H29:K29</xm:sqref>
        </x14:dataValidation>
        <x14:dataValidation type="list" allowBlank="1" showInputMessage="1" showErrorMessage="1">
          <x14:formula1>
            <xm:f>Formeln!$A$115:$A$120</xm:f>
          </x14:formula1>
          <xm:sqref>I82:K82</xm:sqref>
        </x14:dataValidation>
        <x14:dataValidation type="list" allowBlank="1" showInputMessage="1" showErrorMessage="1">
          <x14:formula1>
            <xm:f>Formeln!$A$49:$A$112</xm:f>
          </x14:formula1>
          <xm:sqref>J46:K46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pageSetUpPr fitToPage="1"/>
  </sheetPr>
  <dimension ref="A1:PW104"/>
  <sheetViews>
    <sheetView showGridLines="0" showZeros="0" zoomScaleNormal="100" workbookViewId="0">
      <selection activeCell="C8" sqref="C8:E8"/>
    </sheetView>
  </sheetViews>
  <sheetFormatPr baseColWidth="10" defaultColWidth="0" defaultRowHeight="14.25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8" width="8.73046875" style="1" hidden="1" customWidth="1"/>
    <col min="19" max="19" width="24.73046875" style="1" hidden="1" customWidth="1"/>
    <col min="20" max="20" width="18.86328125" style="1" hidden="1" customWidth="1"/>
    <col min="21" max="16384" width="8.73046875" style="1" hidden="1"/>
  </cols>
  <sheetData>
    <row r="1" spans="1:17" ht="27.75">
      <c r="M1" s="2" t="str">
        <f>VLOOKUP("PREFA DACHSYSTEME",Sprachindex!A:Z,Info!$O$6,FALSE)</f>
        <v>PREFA DACHSYSTEME</v>
      </c>
    </row>
    <row r="2" spans="1:17" ht="27.75">
      <c r="D2" s="23"/>
      <c r="M2" s="2" t="str">
        <f>VLOOKUP("DACHPANEL FX.12",Sprachindex!A:Z,Info!$O$6,FALSE)</f>
        <v>DACHPANEL FX.12</v>
      </c>
    </row>
    <row r="3" spans="1:17" ht="15" customHeight="1"/>
    <row r="4" spans="1:17" ht="17.25" customHeight="1">
      <c r="J4" s="152" t="str">
        <f>VLOOKUP("RETOURNIERUNG PER FAX:",Sprachindex!A:Z,Info!$O$6,FALSE)</f>
        <v>RETOURNIERUNG PER FAX:</v>
      </c>
      <c r="K4" s="292"/>
      <c r="L4" s="293"/>
      <c r="M4" s="294"/>
      <c r="Q4" s="3"/>
    </row>
    <row r="5" spans="1:17" ht="17.25" customHeight="1">
      <c r="J5" s="152" t="str">
        <f>VLOOKUP("ODER EMAIL:",Sprachindex!A:Z,Info!$O$6,FALSE)</f>
        <v>ODER EMAIL:</v>
      </c>
      <c r="K5" s="292"/>
      <c r="L5" s="293"/>
      <c r="M5" s="294"/>
      <c r="Q5" s="3"/>
    </row>
    <row r="6" spans="1:17" ht="17.25" customHeight="1">
      <c r="J6" s="152" t="str">
        <f>VLOOKUP("Datum:",Sprachindex!A:Z,Info!$O$6,FALSE)</f>
        <v>Datum:</v>
      </c>
      <c r="K6" s="292"/>
      <c r="L6" s="293"/>
      <c r="M6" s="294"/>
      <c r="N6" s="18">
        <v>0</v>
      </c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P7" s="13"/>
    </row>
    <row r="8" spans="1:17" ht="15" customHeight="1">
      <c r="A8" s="123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57"/>
      <c r="J8" s="122"/>
      <c r="K8" s="123"/>
      <c r="L8" s="122" t="str">
        <f>VLOOKUP("glatt",Sprachindex!A:Z,Info!$O$6,FALSE)</f>
        <v>glatt</v>
      </c>
      <c r="M8" s="123"/>
      <c r="N8" s="84">
        <v>1</v>
      </c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23"/>
      <c r="J9" s="124">
        <v>1</v>
      </c>
      <c r="K9" s="123"/>
      <c r="L9" s="123"/>
      <c r="M9" s="123"/>
      <c r="N9" s="5"/>
      <c r="Q9" s="4"/>
    </row>
    <row r="10" spans="1:17" ht="15" customHeight="1">
      <c r="A10" s="123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5"/>
      <c r="O10" s="14"/>
      <c r="Q10" s="4"/>
    </row>
    <row r="11" spans="1:17" ht="15" customHeight="1">
      <c r="A11" s="123"/>
      <c r="B11" s="123"/>
      <c r="C11" s="123"/>
      <c r="D11" s="123"/>
      <c r="E11" s="123"/>
      <c r="F11" s="123"/>
      <c r="G11" s="123"/>
      <c r="H11" s="123"/>
      <c r="I11" s="127"/>
      <c r="J11" s="124">
        <v>1</v>
      </c>
      <c r="K11" s="123"/>
      <c r="L11" s="123"/>
      <c r="M11" s="123"/>
      <c r="N11" s="5"/>
    </row>
    <row r="12" spans="1:17" ht="15" customHeight="1">
      <c r="A12" s="123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83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5"/>
      <c r="Q13" s="4"/>
    </row>
    <row r="14" spans="1:17" ht="15" customHeight="1">
      <c r="A14" s="123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5"/>
      <c r="Q14" s="4"/>
    </row>
    <row r="15" spans="1:17" ht="15" customHeight="1">
      <c r="A15" s="123"/>
      <c r="B15" s="123"/>
      <c r="C15" s="123"/>
      <c r="D15" s="123"/>
      <c r="E15" s="123"/>
      <c r="F15" s="123"/>
      <c r="G15" s="123" t="str">
        <f>VLOOKUP("01 P.10 braun",Sprachindex!A:Z,Info!$O$6,FALSE)</f>
        <v>01 P.10 braun</v>
      </c>
      <c r="H15" s="123"/>
      <c r="I15" s="123"/>
      <c r="J15" s="122" t="str">
        <f>VLOOKUP("07 P.10 hellgrau ",Sprachindex!A:Z,Info!$O$6,FALSE)</f>
        <v xml:space="preserve">07 P.10 hellgrau </v>
      </c>
      <c r="K15" s="123"/>
      <c r="L15" s="123"/>
      <c r="M15" s="123"/>
      <c r="N15" s="5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P.10 anthrazit",Sprachindex!A:Z,Info!$O$6,FALSE)</f>
        <v>02 P.10 anthrazit</v>
      </c>
      <c r="H16" s="123"/>
      <c r="I16" s="123"/>
      <c r="J16" s="125" t="str">
        <f>VLOOKUP("11 P.10 nussbraun",Sprachindex!A:Z,Info!$O$6,FALSE)</f>
        <v>11 P.10 nussbraun</v>
      </c>
      <c r="K16" s="123"/>
      <c r="L16" s="123"/>
      <c r="M16" s="123"/>
      <c r="N16" s="5"/>
      <c r="P16" s="13"/>
    </row>
    <row r="17" spans="1:39" ht="15" customHeight="1">
      <c r="A17" s="123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P.10 schwarz",Sprachindex!A:Z,Info!$O$6,FALSE)</f>
        <v>03 P.10 schwarz</v>
      </c>
      <c r="H17" s="123"/>
      <c r="I17" s="123"/>
      <c r="J17" s="125" t="str">
        <f>VLOOKUP("43 P.10 steingrau",Sprachindex!A:Z,Info!$O$6,FALSE)</f>
        <v>43 P.10 steingrau</v>
      </c>
      <c r="K17" s="123"/>
      <c r="L17" s="123"/>
      <c r="M17" s="123"/>
      <c r="N17" s="17"/>
      <c r="Q17" s="4"/>
    </row>
    <row r="18" spans="1:39" ht="15" customHeight="1">
      <c r="A18" s="123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P.10 ziegelrot",Sprachindex!A:Z,Info!$O$6,FALSE)</f>
        <v>04 P.10 ziegelrot</v>
      </c>
      <c r="H18" s="123"/>
      <c r="I18" s="123"/>
      <c r="J18" s="125" t="str">
        <f>VLOOKUP("13 naturblank",Sprachindex!A:Z,Info!$O$6,FALSE)</f>
        <v>13 naturblank</v>
      </c>
      <c r="K18" s="123"/>
      <c r="L18" s="123"/>
      <c r="M18" s="123"/>
      <c r="N18" s="5"/>
      <c r="Q18" s="4"/>
    </row>
    <row r="19" spans="1:39" ht="15" customHeight="1">
      <c r="A19" s="123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P.10 oxydrot",Sprachindex!A:Z,Info!$O$6,FALSE)</f>
        <v>05 P.10 oxydrot</v>
      </c>
      <c r="H19" s="123"/>
      <c r="I19" s="123"/>
      <c r="J19" s="125"/>
      <c r="K19" s="123"/>
      <c r="L19" s="124"/>
      <c r="M19" s="123"/>
      <c r="N19" s="5"/>
      <c r="Q19" s="4"/>
      <c r="S19" s="61"/>
      <c r="T19" s="61"/>
    </row>
    <row r="20" spans="1:39" ht="15" customHeight="1">
      <c r="A20" s="123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P.10 moosgrün",Sprachindex!A:Z,Info!$O$6,FALSE)</f>
        <v>06 P.10 moosgrün</v>
      </c>
      <c r="H20" s="123"/>
      <c r="I20" s="160"/>
      <c r="J20" s="161"/>
      <c r="K20" s="161"/>
      <c r="L20" s="123"/>
      <c r="M20" s="123"/>
      <c r="N20" s="83"/>
      <c r="Q20" s="4"/>
    </row>
    <row r="21" spans="1:39" ht="15" customHeight="1">
      <c r="A21" s="123"/>
      <c r="B21" s="127"/>
      <c r="C21" s="123"/>
      <c r="D21" s="123"/>
      <c r="E21" s="123"/>
      <c r="F21" s="123"/>
      <c r="G21" s="123"/>
      <c r="H21" s="123"/>
      <c r="I21" s="160"/>
      <c r="J21" s="123"/>
      <c r="K21" s="123"/>
      <c r="L21" s="123"/>
      <c r="M21" s="123"/>
      <c r="Q21" s="4"/>
    </row>
    <row r="22" spans="1:39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123"/>
      <c r="G22" s="123"/>
      <c r="H22" s="123"/>
      <c r="I22" s="123"/>
      <c r="J22" s="123"/>
      <c r="K22" s="123"/>
      <c r="L22" s="123"/>
      <c r="M22" s="123"/>
    </row>
    <row r="23" spans="1:39" ht="35.1" customHeight="1" thickBot="1">
      <c r="A23" s="128" t="str">
        <f>VLOOKUP("Menge",Sprachindex!A:Z,Info!$O$6,FALSE)</f>
        <v>Menge</v>
      </c>
      <c r="B23" s="207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O23" s="1"/>
      <c r="Q23" s="59">
        <f>ROUNDUP(A24/(1/3.4),0)</f>
        <v>0</v>
      </c>
      <c r="T23" s="75" t="s">
        <v>1554</v>
      </c>
      <c r="U23" s="75" t="s">
        <v>1555</v>
      </c>
      <c r="V23" s="75" t="s">
        <v>1556</v>
      </c>
      <c r="W23" s="75" t="s">
        <v>1557</v>
      </c>
      <c r="X23" s="75" t="s">
        <v>1558</v>
      </c>
      <c r="Y23" s="75" t="s">
        <v>1559</v>
      </c>
      <c r="Z23" s="75" t="s">
        <v>1560</v>
      </c>
      <c r="AA23" s="75" t="s">
        <v>1561</v>
      </c>
      <c r="AB23" s="75" t="s">
        <v>1562</v>
      </c>
      <c r="AC23" s="75" t="s">
        <v>1563</v>
      </c>
      <c r="AD23" s="75" t="s">
        <v>1554</v>
      </c>
      <c r="AE23" s="75" t="s">
        <v>1555</v>
      </c>
      <c r="AF23" s="75" t="s">
        <v>1556</v>
      </c>
      <c r="AG23" s="75" t="s">
        <v>1557</v>
      </c>
      <c r="AH23" s="75" t="s">
        <v>1558</v>
      </c>
      <c r="AI23" s="75" t="s">
        <v>1559</v>
      </c>
      <c r="AJ23" s="75" t="s">
        <v>1560</v>
      </c>
      <c r="AK23" s="75" t="s">
        <v>1561</v>
      </c>
      <c r="AL23" s="75" t="s">
        <v>1562</v>
      </c>
      <c r="AM23" s="75" t="s">
        <v>1563</v>
      </c>
    </row>
    <row r="24" spans="1:39" ht="32.1" customHeight="1">
      <c r="A24" s="169"/>
      <c r="B24" s="133" t="str">
        <f>VLOOKUP("m²",Sprachindex!A:Z,Info!$O$6,FALSE)</f>
        <v>m²</v>
      </c>
      <c r="C24" s="170"/>
      <c r="D24" s="136">
        <f>IF($N$20=1,T24,IF($N$20=4,U24,IF($N$20=5,V24,IF($N$20=11,W24,IF($N$20=7,X24,IF($N$20=3,Y24,IF($N$20=6,Z24,IF($N$20=9,AA24,IF($N$20=2,AB24,IF($N$20=8,AC24,0))))))))))</f>
        <v>0</v>
      </c>
      <c r="E24" s="295" t="str">
        <f>VLOOKUP("PREFA FX.12 Dachpanel lang (1.400 × 420 mm)",Sprachindex!A:Z,Info!$O$6,FALSE)</f>
        <v>PREFA FX.12 Dachpanel lang (1.400 × 420 mm)</v>
      </c>
      <c r="F24" s="296"/>
      <c r="G24" s="296"/>
      <c r="H24" s="296"/>
      <c r="I24" s="296"/>
      <c r="J24" s="296"/>
      <c r="K24" s="297"/>
      <c r="L24" s="133" t="str">
        <f t="shared" ref="L24:L55" si="0">IF(A24=0,"",IF($N$10=1,P24,Q24))</f>
        <v/>
      </c>
      <c r="M24" s="172"/>
      <c r="O24" s="1"/>
      <c r="P24" s="56"/>
      <c r="Q24" s="60" t="str">
        <f>ROUNDUP(A24/11.76,0)*11.76 &amp; " m²                                    " &amp; "(="&amp;ROUNDUP(ROUNDUP(A24/8.24,0)*11.76/11.76,0)*20 &amp;" Stk)"</f>
        <v>0 m²                                    (=0 Stk)</v>
      </c>
      <c r="T24" s="72">
        <v>120600</v>
      </c>
      <c r="U24" s="72">
        <v>120601</v>
      </c>
      <c r="V24" s="72">
        <v>120602</v>
      </c>
      <c r="W24" s="72">
        <v>120603</v>
      </c>
      <c r="X24" s="72">
        <v>120604</v>
      </c>
      <c r="Y24" s="72">
        <v>120607</v>
      </c>
      <c r="Z24" s="72">
        <v>120608</v>
      </c>
      <c r="AA24" s="72">
        <v>120609</v>
      </c>
      <c r="AB24" s="72">
        <v>120610</v>
      </c>
      <c r="AC24" s="72">
        <v>594444</v>
      </c>
    </row>
    <row r="25" spans="1:39" ht="32.1" customHeight="1">
      <c r="A25" s="164"/>
      <c r="B25" s="137" t="str">
        <f>VLOOKUP("m²",Sprachindex!A:Z,Info!$O$6,FALSE)</f>
        <v>m²</v>
      </c>
      <c r="C25" s="135"/>
      <c r="D25" s="136">
        <f>IF($N$20=1,T25,IF($N$20=4,U25,IF($N$20=5,V25,IF($N$20=11,W25,IF($N$20=7,X25,IF($N$20=3,Y25,IF($N$20=6,Z25,IF($N$20=9,AA25,IF($N$20=2,AB25,IF($N$20=8,AC25,0))))))))))</f>
        <v>0</v>
      </c>
      <c r="E25" s="264" t="str">
        <f>VLOOKUP("PREFA FX.12 Dachpanel kurz (700 × 420 mm)",Sprachindex!A:Z,Info!$O$6,FALSE)</f>
        <v>PREFA FX.12 Dachpanel kurz (700 × 420 mm)</v>
      </c>
      <c r="F25" s="265"/>
      <c r="G25" s="265"/>
      <c r="H25" s="265"/>
      <c r="I25" s="265"/>
      <c r="J25" s="265"/>
      <c r="K25" s="266"/>
      <c r="L25" s="137" t="str">
        <f t="shared" si="0"/>
        <v/>
      </c>
      <c r="M25" s="138"/>
      <c r="O25" s="1"/>
      <c r="P25" s="56"/>
      <c r="Q25" s="60" t="str">
        <f>ROUNDUP(A25/8.24,0)*8.24 &amp; " m²                                    " &amp; "(="&amp;ROUNDUP(ROUNDUP(A25/8.24,0)*8.24/8.24,0)*28 &amp;" Stk)"</f>
        <v>0 m²                                    (=0 Stk)</v>
      </c>
      <c r="T25" s="72">
        <v>120620</v>
      </c>
      <c r="U25" s="72">
        <v>120621</v>
      </c>
      <c r="V25" s="72">
        <v>120622</v>
      </c>
      <c r="W25" s="72">
        <v>120623</v>
      </c>
      <c r="X25" s="72">
        <v>120624</v>
      </c>
      <c r="Y25" s="72">
        <v>120627</v>
      </c>
      <c r="Z25" s="72">
        <v>120628</v>
      </c>
      <c r="AA25" s="72">
        <v>120629</v>
      </c>
      <c r="AB25" s="72">
        <v>120619</v>
      </c>
      <c r="AC25" s="72">
        <v>594464</v>
      </c>
    </row>
    <row r="26" spans="1:39" ht="32.1" customHeight="1">
      <c r="A26" s="164"/>
      <c r="B26" s="137" t="str">
        <f>VLOOKUP("lfm",Sprachindex!A:Z,Info!$O$6,FALSE)</f>
        <v>lfm</v>
      </c>
      <c r="C26" s="135"/>
      <c r="D26" s="141">
        <v>562005</v>
      </c>
      <c r="E26" s="264" t="str">
        <f>VLOOKUP("PREFA Saumstreifen (1.800 × 158 × 1,00 mm)",Sprachindex!A:Z,Info!$O$6,FALSE)</f>
        <v>PREFA Saumstreifen (1.800 × 158 × 1,00 mm)</v>
      </c>
      <c r="F26" s="265"/>
      <c r="G26" s="265"/>
      <c r="H26" s="265"/>
      <c r="I26" s="265"/>
      <c r="J26" s="265"/>
      <c r="K26" s="266"/>
      <c r="L26" s="137" t="str">
        <f t="shared" si="0"/>
        <v/>
      </c>
      <c r="M26" s="138"/>
      <c r="O26" s="1"/>
      <c r="P26" s="31"/>
      <c r="Q26" s="31" t="str">
        <f>ROUNDUP(A26/1.8,0)*1.8 &amp; " " &amp; Formeln!A124 &amp; "                                 " &amp; "(="&amp;ROUNDUP(A26/1.8,0) &amp;" " &amp; Formeln!A123 &amp; ")"</f>
        <v>0 lfm                                 (=0 STK)</v>
      </c>
    </row>
    <row r="27" spans="1:39" ht="32.1" customHeight="1">
      <c r="A27" s="164"/>
      <c r="B27" s="137" t="str">
        <f>VLOOKUP("kg",Sprachindex!A:Z,Info!$O$6,FALSE)</f>
        <v>kg</v>
      </c>
      <c r="C27" s="135"/>
      <c r="D27" s="136">
        <f>IF(H27=Formeln!A2,340392,IF(H27=Formeln!A3,340394,IF(H27=Formeln!A4,341392,0)))</f>
        <v>0</v>
      </c>
      <c r="E27" s="283" t="str">
        <f>VLOOKUP("PREFA Rillennagel verzinkt",Sprachindex!A:Z,Info!$O$6,FALSE)</f>
        <v>PREFA Rillennagel verzinkt</v>
      </c>
      <c r="F27" s="284"/>
      <c r="G27" s="284"/>
      <c r="H27" s="269"/>
      <c r="I27" s="270"/>
      <c r="J27" s="270"/>
      <c r="K27" s="271"/>
      <c r="L27" s="137" t="str">
        <f t="shared" si="0"/>
        <v/>
      </c>
      <c r="M27" s="138"/>
      <c r="O27" s="1"/>
      <c r="P27" s="57"/>
      <c r="Q27" s="57" t="str">
        <f>ROUNDUP(A27/2.5,0)*2.5 &amp; " " &amp; Formeln!A126 &amp; "                              " &amp; "(="&amp;ROUNDUP(A27/2.5,0)*2.5*R27 &amp;"" &amp; Formeln!A123 &amp; ")"</f>
        <v>0 kg                              (=0STK)</v>
      </c>
      <c r="R27" s="8">
        <f>IF(H27=Formeln!A2,570,IF(H27=Formeln!A3,480,IF(H27=Formeln!A4,380,0)))</f>
        <v>0</v>
      </c>
    </row>
    <row r="28" spans="1:39" ht="32.1" customHeight="1">
      <c r="A28" s="164"/>
      <c r="B28" s="137" t="str">
        <f>VLOOKUP("Karton",Sprachindex!A:Z,Info!$O$6,FALSE)</f>
        <v>Karton</v>
      </c>
      <c r="C28" s="135"/>
      <c r="D28" s="136">
        <f>IF(H28=Formeln!A6,341395,IF(H28=Formeln!A7,341396,IF(H28=Formeln!A8,341398,0)))</f>
        <v>0</v>
      </c>
      <c r="E28" s="283" t="str">
        <f>VLOOKUP("Nägel für Bull Tack Power Nagler",Sprachindex!A:Z,Info!$O$6,FALSE)</f>
        <v>Nägel für Bull Tack Power Nagler</v>
      </c>
      <c r="F28" s="284"/>
      <c r="G28" s="284"/>
      <c r="H28" s="269"/>
      <c r="I28" s="270"/>
      <c r="J28" s="270"/>
      <c r="K28" s="271"/>
      <c r="L28" s="137" t="str">
        <f t="shared" si="0"/>
        <v/>
      </c>
      <c r="M28" s="138"/>
      <c r="O28" s="1"/>
      <c r="P28" s="57"/>
      <c r="Q28" s="57" t="str">
        <f>A28 &amp; " " &amp; Formeln!A125 &amp; "                    " &amp; "(="&amp;R28*A28 &amp;"" &amp; Formeln!A123 &amp; ")"</f>
        <v xml:space="preserve"> Karton                    (=0STK)</v>
      </c>
      <c r="R28" s="8">
        <f>IF(H28=Formeln!A7,2400,3200)</f>
        <v>3200</v>
      </c>
    </row>
    <row r="29" spans="1:39" ht="32.1" customHeight="1">
      <c r="A29" s="164"/>
      <c r="B29" s="137" t="str">
        <f>VLOOKUP("lfm",Sprachindex!A:Z,Info!$O$6,FALSE)</f>
        <v>lfm</v>
      </c>
      <c r="C29" s="135"/>
      <c r="D29" s="136">
        <f>IF($N$20=1,T29,IF($N$20=4,U29,IF($N$20=5,V29,IF($N$20=11,W29,IF($N$20=7,X29,IF($N$20=3,Y29,IF($N$20=6,Z29,IF($N$20=9,AA29,IF($N$20=2,AB29,IF($N$20=8,AC29,0))))))))))</f>
        <v>0</v>
      </c>
      <c r="E29" s="264" t="str">
        <f>VLOOKUP("PREFA Einlaufblech glatt 230 × 2.000 × 0,7 mm",Sprachindex!A:Z,Info!$O$6,FALSE)</f>
        <v>PREFA Einlaufblech glatt 230 × 2.000 × 0,7 mm</v>
      </c>
      <c r="F29" s="265"/>
      <c r="G29" s="265"/>
      <c r="H29" s="265"/>
      <c r="I29" s="265"/>
      <c r="J29" s="265"/>
      <c r="K29" s="266"/>
      <c r="L29" s="137" t="str">
        <f t="shared" si="0"/>
        <v/>
      </c>
      <c r="M29" s="138"/>
      <c r="O29" s="1"/>
      <c r="P29" s="11"/>
      <c r="Q29" s="11" t="str">
        <f>ROUNDUP(A29/2,0)*2 &amp;" " &amp; VLOOKUP("lfm",Sprachindex!A:Z,Info!$O$6,FALSE)</f>
        <v>0 lfm</v>
      </c>
      <c r="T29" s="72">
        <v>563004</v>
      </c>
      <c r="U29" s="72">
        <v>563006</v>
      </c>
      <c r="V29" s="72">
        <v>563001</v>
      </c>
      <c r="W29" s="72">
        <v>563005</v>
      </c>
      <c r="Y29" s="72">
        <v>563007</v>
      </c>
      <c r="Z29" s="72">
        <v>563016</v>
      </c>
      <c r="AA29" s="72">
        <v>563011</v>
      </c>
      <c r="AB29" s="72">
        <v>563017</v>
      </c>
      <c r="AC29" s="72">
        <v>563002</v>
      </c>
    </row>
    <row r="30" spans="1:39" ht="32.1" customHeight="1">
      <c r="A30" s="164"/>
      <c r="B30" s="137" t="str">
        <f>VLOOKUP("lfm",Sprachindex!A:Z,Info!$O$6,FALSE)</f>
        <v>lfm</v>
      </c>
      <c r="C30" s="140"/>
      <c r="D30" s="141">
        <f>IF(H30=Formeln!A10,507400,IF(H30=Formeln!A11,507401,IF(H30=Formeln!A12,507410,IF(H30=Formeln!A13,507411,0))))</f>
        <v>0</v>
      </c>
      <c r="E30" s="264" t="str">
        <f>VLOOKUP("PREFA Lüftungsband",Sprachindex!A:Z,Info!$O$6,FALSE)</f>
        <v>PREFA Lüftungsband</v>
      </c>
      <c r="F30" s="265"/>
      <c r="G30" s="265"/>
      <c r="H30" s="269"/>
      <c r="I30" s="270"/>
      <c r="J30" s="270"/>
      <c r="K30" s="271"/>
      <c r="L30" s="137" t="str">
        <f t="shared" si="0"/>
        <v/>
      </c>
      <c r="M30" s="138"/>
      <c r="O30" s="1"/>
      <c r="P30" s="11"/>
      <c r="Q30" s="11" t="str">
        <f>ROUNDUP(A30/40,0)*40 &amp;" " &amp; VLOOKUP("lfm",Sprachindex!A:Z,Info!$O$6,FALSE)</f>
        <v>0 lfm</v>
      </c>
    </row>
    <row r="31" spans="1:39" ht="32.1" customHeight="1">
      <c r="A31" s="164"/>
      <c r="B31" s="137" t="str">
        <f>VLOOKUP("lfm",Sprachindex!A:Z,Info!$O$6,FALSE)</f>
        <v>lfm</v>
      </c>
      <c r="C31" s="135"/>
      <c r="D31" s="136">
        <v>507300</v>
      </c>
      <c r="E31" s="264" t="str">
        <f>VLOOKUP("PREFA Vogelschutzgitter braun/anthrazit (125x2.000x0,7mm)",Sprachindex!A:Z,Info!$O$6,FALSE)</f>
        <v>PREFA Vogelschutzgitter braun/anthrazit (125x2.000x0,7mm)</v>
      </c>
      <c r="F31" s="265"/>
      <c r="G31" s="265"/>
      <c r="H31" s="265"/>
      <c r="I31" s="265"/>
      <c r="J31" s="265"/>
      <c r="K31" s="266"/>
      <c r="L31" s="137" t="str">
        <f t="shared" si="0"/>
        <v/>
      </c>
      <c r="M31" s="138"/>
      <c r="O31" s="1"/>
      <c r="P31" s="11"/>
      <c r="Q31" s="11" t="str">
        <f>ROUNDUP(A31/2,0)*2 &amp;" " &amp; VLOOKUP("lfm",Sprachindex!A:Z,Info!$O$6,FALSE)</f>
        <v>0 lfm</v>
      </c>
    </row>
    <row r="32" spans="1:39" ht="32.1" customHeight="1">
      <c r="A32" s="164"/>
      <c r="B32" s="137" t="str">
        <f>VLOOKUP("lfm",Sprachindex!A:Z,Info!$O$6,FALSE)</f>
        <v>lfm</v>
      </c>
      <c r="C32" s="135"/>
      <c r="D32" s="136">
        <f>IF(AND($N$8=2,$N$20=1),T32,IF(AND($N$8=2,$N$20=4),U32,IF(AND($N$8=2,$N$20=5),V32,IF(AND($N$8=2,$N$20=11),W32,IF(AND($N$8=2,$N$20=7),X32,IF(AND($N$8=2,$N$20=3),Y32,IF(AND($N$8=2,$N$20=6),Z32,IF(AND($N$8=2,$N$20=9),AA32,IF(AND($N$8=2,$N$20=2),AB32,IF(AND($N$8=2,$N$20=8),AC32,IF(AND($N$8=1,$N$20=1),AD32,IF(AND($N$8=1,$N$20=1),AD32,IF(AND($N$8=1,$N$20=4),AE32,IF(AND($N$8=1,$N$20=5),AF32,IF(AND($N$8=1,$N$20=11),AG32,IF(AND($N$8=1,$N$20=7),AH32,IF(AND($N$8=1,$N$20=3),AI32,IF(AND($N$8=1,$N$20=6),AJ32,IF(AND($N$8=1,$N$20=9),AK32,IF(AND($N$8=1,$N$20=2),AL32,IF(AND($N$8=1,$N$20=8),AM32,0)))))))))))))))))))))</f>
        <v>0</v>
      </c>
      <c r="E32" s="264" t="str">
        <f>VLOOKUP("PREFA Ortgangstreifen (95 x 2.000 x 0,70 mm)",Sprachindex!A:Z,Info!$O$6,FALSE)</f>
        <v>PREFA Ortgangstreifen (95 x 2.000 x 0,70 mm)</v>
      </c>
      <c r="F32" s="265"/>
      <c r="G32" s="265"/>
      <c r="H32" s="265"/>
      <c r="I32" s="265"/>
      <c r="J32" s="265"/>
      <c r="K32" s="266"/>
      <c r="L32" s="137" t="str">
        <f t="shared" si="0"/>
        <v/>
      </c>
      <c r="M32" s="138"/>
      <c r="O32" s="1"/>
      <c r="P32" s="11"/>
      <c r="Q32" s="11" t="str">
        <f>ROUNDUP(A32/2,0)*2 &amp;" " &amp; VLOOKUP("lfm",Sprachindex!A:Z,Info!$O$6,FALSE)</f>
        <v>0 lfm</v>
      </c>
      <c r="T32" s="72">
        <v>110500</v>
      </c>
      <c r="U32" s="72">
        <v>110501</v>
      </c>
      <c r="V32" s="72">
        <v>110502</v>
      </c>
      <c r="W32" s="72">
        <v>110503</v>
      </c>
      <c r="X32" s="72">
        <v>110504</v>
      </c>
      <c r="Y32" s="72">
        <v>110505</v>
      </c>
      <c r="Z32" s="72">
        <v>110506</v>
      </c>
      <c r="AA32" s="72">
        <v>110507</v>
      </c>
      <c r="AB32" s="72">
        <v>110508</v>
      </c>
      <c r="AC32" s="72">
        <v>564001</v>
      </c>
      <c r="AD32" s="72">
        <v>110510</v>
      </c>
      <c r="AE32" s="72">
        <v>110511</v>
      </c>
      <c r="AF32" s="72">
        <v>110512</v>
      </c>
      <c r="AG32" s="72">
        <v>110513</v>
      </c>
      <c r="AH32" s="72">
        <v>110514</v>
      </c>
      <c r="AI32" s="72">
        <v>110515</v>
      </c>
      <c r="AJ32" s="72">
        <v>110516</v>
      </c>
      <c r="AK32" s="72">
        <v>110517</v>
      </c>
      <c r="AL32" s="72">
        <v>110518</v>
      </c>
    </row>
    <row r="33" spans="1:439" ht="32.1" customHeight="1">
      <c r="A33" s="164"/>
      <c r="B33" s="137" t="str">
        <f>VLOOKUP("lfm",Sprachindex!A:Z,Info!$O$6,FALSE)</f>
        <v>lfm</v>
      </c>
      <c r="C33" s="135"/>
      <c r="D33" s="136">
        <f t="shared" ref="D33:D38" si="1">IF(AND($N$8=2,$N$20=1),T33,IF(AND($N$8=2,$N$20=4),U33,IF(AND($N$8=2,$N$20=5),V33,IF(AND($N$8=2,$N$20=11),W33,IF(AND($N$8=2,$N$20=7),X33,IF(AND($N$8=2,$N$20=3),Y33,IF(AND($N$8=2,$N$20=6),Z33,IF(AND($N$8=2,$N$20=9),AA33,IF(AND($N$8=2,$N$20=2),AB33,IF(AND($N$8=2,$N$20=8),AC33,IF(AND($N$8=1,$N$20=1),AD33,IF(AND($N$8=1,$N$20=1),AD33,IF(AND($N$8=1,$N$20=4),AE33,IF(AND($N$8=1,$N$20=5),AF33,IF(AND($N$8=1,$N$20=11),AG33,IF(AND($N$8=1,$N$20=7),AH33,IF(AND($N$8=1,$N$20=3),AI33,IF(AND($N$8=1,$N$20=6),AJ33,IF(AND($N$8=1,$N$20=9),AK33,IF(AND($N$8=1,$N$20=2),AL33,IF(AND($N$8=1,$N$20=8),AM33,0)))))))))))))))))))))</f>
        <v>0</v>
      </c>
      <c r="E33" s="264" t="str">
        <f>VLOOKUP("PREFA Sicherheitskehle stucco (3.000 mm lang)",Sprachindex!A:Z,Info!$O$6,FALSE)</f>
        <v>PREFA Sicherheitskehle stucco (3.000 mm lang)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38"/>
      <c r="O33" s="1"/>
      <c r="P33" s="11"/>
      <c r="Q33" s="11" t="str">
        <f>ROUNDUP(A33/3,0)*3 &amp;" " &amp; VLOOKUP("lfm",Sprachindex!A:Z,Info!$O$6,FALSE)</f>
        <v>0 lfm</v>
      </c>
      <c r="T33" s="72">
        <v>110520</v>
      </c>
      <c r="U33" s="72">
        <v>110521</v>
      </c>
      <c r="V33" s="72">
        <v>110522</v>
      </c>
      <c r="W33" s="72">
        <v>110523</v>
      </c>
      <c r="X33" s="72">
        <v>110524</v>
      </c>
      <c r="Y33" s="72">
        <v>110525</v>
      </c>
      <c r="Z33" s="72">
        <v>110526</v>
      </c>
      <c r="AA33" s="72">
        <v>110527</v>
      </c>
      <c r="AB33" s="72">
        <v>110528</v>
      </c>
      <c r="AD33" s="72">
        <v>110530</v>
      </c>
      <c r="AE33" s="72">
        <v>110531</v>
      </c>
      <c r="AF33" s="72">
        <v>110532</v>
      </c>
      <c r="AG33" s="72">
        <v>110533</v>
      </c>
      <c r="AH33" s="72">
        <v>110534</v>
      </c>
      <c r="AI33" s="72">
        <v>110535</v>
      </c>
      <c r="AJ33" s="72">
        <v>110536</v>
      </c>
      <c r="AK33" s="72">
        <v>110537</v>
      </c>
      <c r="AL33" s="72">
        <v>110538</v>
      </c>
    </row>
    <row r="34" spans="1:439" ht="32.1" customHeight="1">
      <c r="A34" s="164"/>
      <c r="B34" s="137" t="str">
        <f>VLOOKUP("lfm",Sprachindex!A:Z,Info!$O$6,FALSE)</f>
        <v>lfm</v>
      </c>
      <c r="C34" s="135"/>
      <c r="D34" s="136">
        <f t="shared" si="1"/>
        <v>0</v>
      </c>
      <c r="E34" s="264" t="str">
        <f>VLOOKUP("PREFA Grat- und Firstreiter 500 x 1,00 mm stucco
inkl. Niro Schraube 4,5x45mm und Dichscheibe",Sprachindex!A:Z,Info!$O$6,FALSE)</f>
        <v>PREFA Grat- und Firstreiter 500 x 1,00 mm stucco
inkl. Niro Schraube 4,5x45mm und Dichscheibe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38"/>
      <c r="O34" s="1"/>
      <c r="P34" s="11"/>
      <c r="Q34" s="11" t="str">
        <f>ROUNDUP(A34/1,0)*1 &amp;" " &amp; VLOOKUP("lfm",Sprachindex!A:Z,Info!$O$6,FALSE)</f>
        <v>0 lfm</v>
      </c>
      <c r="T34" s="72">
        <v>110340</v>
      </c>
      <c r="U34" s="72">
        <v>110341</v>
      </c>
      <c r="V34" s="72">
        <v>110342</v>
      </c>
      <c r="W34" s="72">
        <v>110343</v>
      </c>
      <c r="X34" s="72">
        <v>110344</v>
      </c>
      <c r="Y34" s="72">
        <v>110345</v>
      </c>
      <c r="Z34" s="72">
        <v>110346</v>
      </c>
      <c r="AA34" s="72">
        <v>110347</v>
      </c>
      <c r="AB34" s="72">
        <v>110348</v>
      </c>
      <c r="AC34" s="72">
        <v>567002</v>
      </c>
      <c r="AD34" s="72">
        <v>110350</v>
      </c>
      <c r="AE34" s="72">
        <v>110351</v>
      </c>
      <c r="AF34" s="72">
        <v>110352</v>
      </c>
      <c r="AG34" s="72">
        <v>110353</v>
      </c>
      <c r="AH34" s="72">
        <v>110354</v>
      </c>
      <c r="AI34" s="72">
        <v>110355</v>
      </c>
      <c r="AJ34" s="72">
        <v>110356</v>
      </c>
      <c r="AK34" s="72">
        <v>110357</v>
      </c>
      <c r="AL34" s="72">
        <v>110358</v>
      </c>
    </row>
    <row r="35" spans="1:439" ht="32.1" customHeight="1">
      <c r="A35" s="164"/>
      <c r="B35" s="137" t="str">
        <f>VLOOKUP("Stk",Sprachindex!A:Z,Info!$O$6,FALSE)</f>
        <v>STK</v>
      </c>
      <c r="C35" s="135"/>
      <c r="D35" s="136">
        <f t="shared" si="1"/>
        <v>0</v>
      </c>
      <c r="E35" s="264" t="str">
        <f>VLOOKUP("PREFA Grat-/Firstreiter Anfangs-/Endstück stucco",Sprachindex!A:Z,Info!$O$6,FALSE)</f>
        <v>PREFA Grat-/Firstreiter Anfangs-/Endstück stucco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38"/>
      <c r="O35" s="1"/>
      <c r="P35" s="11"/>
      <c r="Q35" s="11" t="str">
        <f>ROUNDUP(A35/1,0)*1 &amp;" " &amp; VLOOKUP("Stk",Sprachindex!A:Z,Info!$O$6,FALSE)</f>
        <v>0 STK</v>
      </c>
      <c r="T35" s="72">
        <v>110320</v>
      </c>
      <c r="U35" s="72">
        <v>110321</v>
      </c>
      <c r="V35" s="72">
        <v>110322</v>
      </c>
      <c r="W35" s="72">
        <v>110323</v>
      </c>
      <c r="X35" s="72">
        <v>110324</v>
      </c>
      <c r="Y35" s="72">
        <v>110325</v>
      </c>
      <c r="Z35" s="72">
        <v>110326</v>
      </c>
      <c r="AA35" s="72">
        <v>110327</v>
      </c>
      <c r="AB35" s="72">
        <v>110328</v>
      </c>
      <c r="AC35" s="72">
        <v>517150</v>
      </c>
      <c r="AD35" s="72">
        <v>110330</v>
      </c>
      <c r="AE35" s="72">
        <v>110331</v>
      </c>
      <c r="AF35" s="72">
        <v>110332</v>
      </c>
      <c r="AG35" s="72">
        <v>110333</v>
      </c>
      <c r="AH35" s="72">
        <v>110334</v>
      </c>
      <c r="AI35" s="72">
        <v>110335</v>
      </c>
      <c r="AJ35" s="72">
        <v>110336</v>
      </c>
      <c r="AK35" s="72">
        <v>110337</v>
      </c>
      <c r="AL35" s="72">
        <v>110338</v>
      </c>
      <c r="AM35" s="72">
        <v>517170</v>
      </c>
    </row>
    <row r="36" spans="1:439" ht="32.1" customHeight="1">
      <c r="A36" s="164"/>
      <c r="B36" s="137" t="str">
        <f>VLOOKUP("lfm",Sprachindex!A:Z,Info!$O$6,FALSE)</f>
        <v>lfm</v>
      </c>
      <c r="C36" s="135"/>
      <c r="D36" s="136">
        <f t="shared" si="1"/>
        <v>0</v>
      </c>
      <c r="E36" s="264" t="str">
        <f>VLOOKUP("PREFA Jet-Lüfter stucco (1.200mm) inkl. Niro Schr. u.Dichtsch.",Sprachindex!A:Z,Info!$O$6,FALSE)</f>
        <v>PREFA Jet-Lüfter stucco (1.200mm) inkl. Niro Schr. u.Dichtsch.</v>
      </c>
      <c r="F36" s="265"/>
      <c r="G36" s="265"/>
      <c r="H36" s="265"/>
      <c r="I36" s="265"/>
      <c r="J36" s="265"/>
      <c r="K36" s="266"/>
      <c r="L36" s="137" t="str">
        <f t="shared" si="0"/>
        <v/>
      </c>
      <c r="M36" s="138"/>
      <c r="O36" s="1"/>
      <c r="P36" s="11"/>
      <c r="Q36" s="11" t="str">
        <f>ROUNDUP(A36/1.2,0)*1.2 &amp;" " &amp; VLOOKUP("lfm",Sprachindex!A:Z,Info!$O$6,FALSE)</f>
        <v>0 lfm</v>
      </c>
      <c r="T36" s="72">
        <v>110640</v>
      </c>
      <c r="U36" s="72">
        <v>110641</v>
      </c>
      <c r="V36" s="72">
        <v>110642</v>
      </c>
      <c r="W36" s="72">
        <v>110643</v>
      </c>
      <c r="X36" s="72">
        <v>110644</v>
      </c>
      <c r="Y36" s="72">
        <v>110645</v>
      </c>
      <c r="Z36" s="72">
        <v>110646</v>
      </c>
      <c r="AA36" s="72">
        <v>110647</v>
      </c>
      <c r="AB36" s="72">
        <v>110648</v>
      </c>
      <c r="AC36" s="72">
        <v>570160</v>
      </c>
      <c r="AD36" s="72">
        <v>110650</v>
      </c>
      <c r="AE36" s="72">
        <v>110651</v>
      </c>
      <c r="AF36" s="72">
        <v>110652</v>
      </c>
      <c r="AG36" s="72">
        <v>110653</v>
      </c>
      <c r="AH36" s="72">
        <v>110654</v>
      </c>
      <c r="AI36" s="72">
        <v>110655</v>
      </c>
      <c r="AJ36" s="72">
        <v>110656</v>
      </c>
      <c r="AK36" s="72">
        <v>110657</v>
      </c>
      <c r="AL36" s="72">
        <v>110658</v>
      </c>
      <c r="AM36" s="72">
        <v>570140</v>
      </c>
    </row>
    <row r="37" spans="1:439" ht="32.1" customHeight="1">
      <c r="A37" s="164"/>
      <c r="B37" s="137" t="str">
        <f>VLOOKUP("lfm",Sprachindex!A:Z,Info!$O$6,FALSE)</f>
        <v>lfm</v>
      </c>
      <c r="C37" s="135"/>
      <c r="D37" s="136">
        <f t="shared" si="1"/>
        <v>0</v>
      </c>
      <c r="E37" s="264" t="str">
        <f>VLOOKUP("PREFA Jet-Lüfter stucco (3.000mm) inkl. Niro Schr. u.Dichtsch.",Sprachindex!A:Z,Info!$O$6,FALSE)</f>
        <v>PREFA Jet-Lüfter stucco (3.000mm) inkl. Niro Schr. u.Dichtsch.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38"/>
      <c r="O37" s="1"/>
      <c r="P37" s="11"/>
      <c r="Q37" s="11" t="str">
        <f>ROUNDUP(A37/3,0)*3 &amp;" " &amp; VLOOKUP("lfm",Sprachindex!A:Z,Info!$O$6,FALSE)</f>
        <v>0 lfm</v>
      </c>
      <c r="T37" s="72">
        <v>110620</v>
      </c>
      <c r="U37" s="72">
        <v>110621</v>
      </c>
      <c r="V37" s="72">
        <v>110622</v>
      </c>
      <c r="W37" s="72">
        <v>110623</v>
      </c>
      <c r="X37" s="72">
        <v>110624</v>
      </c>
      <c r="Y37" s="72">
        <v>110625</v>
      </c>
      <c r="Z37" s="72">
        <v>110626</v>
      </c>
      <c r="AA37" s="72">
        <v>110627</v>
      </c>
      <c r="AB37" s="72">
        <v>110628</v>
      </c>
      <c r="AC37" s="72">
        <v>570040</v>
      </c>
      <c r="AD37" s="72">
        <v>110630</v>
      </c>
      <c r="AE37" s="72">
        <v>110631</v>
      </c>
      <c r="AF37" s="72">
        <v>110632</v>
      </c>
      <c r="AG37" s="72">
        <v>110633</v>
      </c>
      <c r="AH37" s="72">
        <v>110634</v>
      </c>
      <c r="AI37" s="72">
        <v>110635</v>
      </c>
      <c r="AJ37" s="72">
        <v>110636</v>
      </c>
      <c r="AK37" s="72">
        <v>110637</v>
      </c>
      <c r="AL37" s="72">
        <v>110638</v>
      </c>
      <c r="AM37" s="72">
        <v>570060</v>
      </c>
    </row>
    <row r="38" spans="1:439" ht="32.1" customHeight="1">
      <c r="A38" s="164"/>
      <c r="B38" s="137" t="str">
        <f>VLOOKUP("Stk",Sprachindex!A:Z,Info!$O$6,FALSE)</f>
        <v>STK</v>
      </c>
      <c r="C38" s="135"/>
      <c r="D38" s="136">
        <f t="shared" si="1"/>
        <v>0</v>
      </c>
      <c r="E38" s="264" t="str">
        <f>VLOOKUP("PREFA Jet-Lüfter-Endstück stucco",Sprachindex!A:Z,Info!$O$6,FALSE)</f>
        <v>PREFA Jet-Lüfter-Endstück stucco</v>
      </c>
      <c r="F38" s="265"/>
      <c r="G38" s="265"/>
      <c r="H38" s="265"/>
      <c r="I38" s="265"/>
      <c r="J38" s="265"/>
      <c r="K38" s="266"/>
      <c r="L38" s="137" t="str">
        <f t="shared" si="0"/>
        <v/>
      </c>
      <c r="M38" s="138"/>
      <c r="O38" s="1"/>
      <c r="P38" s="11"/>
      <c r="Q38" s="11" t="str">
        <f>ROUNDUP(A38/1,0)*1 &amp;" " &amp; VLOOKUP("Stk",Sprachindex!A:Z,Info!$O$6,FALSE)</f>
        <v>0 STK</v>
      </c>
      <c r="T38" s="72">
        <v>110600</v>
      </c>
      <c r="U38" s="72">
        <v>110601</v>
      </c>
      <c r="V38" s="72">
        <v>110602</v>
      </c>
      <c r="W38" s="72">
        <v>110603</v>
      </c>
      <c r="X38" s="72">
        <v>110604</v>
      </c>
      <c r="Y38" s="72">
        <v>110605</v>
      </c>
      <c r="Z38" s="72">
        <v>110606</v>
      </c>
      <c r="AA38" s="72">
        <v>110607</v>
      </c>
      <c r="AB38" s="72">
        <v>110608</v>
      </c>
      <c r="AC38" s="72">
        <v>510030</v>
      </c>
      <c r="AD38" s="72">
        <v>110610</v>
      </c>
      <c r="AE38" s="72">
        <v>110611</v>
      </c>
      <c r="AF38" s="72">
        <v>110612</v>
      </c>
      <c r="AG38" s="72">
        <v>110613</v>
      </c>
      <c r="AH38" s="72">
        <v>110614</v>
      </c>
      <c r="AI38" s="72">
        <v>110615</v>
      </c>
      <c r="AJ38" s="72">
        <v>110616</v>
      </c>
      <c r="AK38" s="72">
        <v>110617</v>
      </c>
      <c r="AL38" s="72">
        <v>110618</v>
      </c>
      <c r="AM38" s="72">
        <v>510060</v>
      </c>
    </row>
    <row r="39" spans="1:439" ht="32.1" customHeight="1">
      <c r="A39" s="164"/>
      <c r="B39" s="137" t="str">
        <f>VLOOKUP("Stk",Sprachindex!A:Z,Info!$O$6,FALSE)</f>
        <v>STK</v>
      </c>
      <c r="C39" s="135"/>
      <c r="D39" s="136">
        <f>IF(H39=Formeln!A13,IF($N$20=1,T39,IF($N$20=4,U39,IF($N$20=5,V39,IF($N$20=11,W39,IF($N$20=7,X39,IF($N$20=3,Y39,IF($N$20=6,Z39,IF($N$20=9,AA39,IF($N$20=2,AB39,IF($N$20=8,AC39,0)))))))))),IF(H39=Formeln!A14,AC39,0))</f>
        <v>340103</v>
      </c>
      <c r="E39" s="264" t="str">
        <f>VLOOKUP("Niro-Schraube mit Dichtscheibe für Grat-/Firstreiter",Sprachindex!A:Z,Info!$O$6,FALSE)</f>
        <v>Niro-Schraube mit Dichtscheibe für Grat-/Firstreiter</v>
      </c>
      <c r="F39" s="265"/>
      <c r="G39" s="265"/>
      <c r="H39" s="269"/>
      <c r="I39" s="270"/>
      <c r="J39" s="270"/>
      <c r="K39" s="271"/>
      <c r="L39" s="137" t="str">
        <f t="shared" si="0"/>
        <v/>
      </c>
      <c r="M39" s="138"/>
      <c r="O39" s="1"/>
      <c r="P39" s="11"/>
      <c r="Q39" s="11" t="str">
        <f>ROUNDUP(A39/250,0)*250 &amp;" " &amp; VLOOKUP("Stk",Sprachindex!A:Z,Info!$O$6,FALSE)</f>
        <v>0 STK</v>
      </c>
      <c r="T39" s="72">
        <v>340001</v>
      </c>
      <c r="U39" s="72">
        <v>340004</v>
      </c>
      <c r="V39" s="72">
        <v>340003</v>
      </c>
      <c r="W39" s="72">
        <v>340104</v>
      </c>
      <c r="Y39" s="72">
        <v>340002</v>
      </c>
      <c r="Z39" s="72">
        <v>340016</v>
      </c>
      <c r="AA39" s="72">
        <v>340011</v>
      </c>
      <c r="AC39" s="72">
        <v>340103</v>
      </c>
    </row>
    <row r="40" spans="1:439" ht="32.1" customHeight="1">
      <c r="A40" s="164"/>
      <c r="B40" s="137" t="str">
        <f>VLOOKUP("Stk",Sprachindex!A:Z,Info!$O$6,FALSE)</f>
        <v>STK</v>
      </c>
      <c r="C40" s="135"/>
      <c r="D40" s="136">
        <f>IF(H40=Formeln!A16,IF($N$20=1,T40,IF($N$20=4,U40,IF($N$20=5,V40,IF($N$20=11,W40,IF($N$20=7,X40,IF($N$20=3,Y40,IF($N$20=6,Z40,IF($N$20=9,AA40,IF($N$20=2,AB40,IF($N$20=8,AC40,0)))))))))),IF(H40=Formeln!A17,AC40,0))</f>
        <v>340106</v>
      </c>
      <c r="E40" s="264" t="str">
        <f>VLOOKUP("Niro-Schraube mit Dichtscheibe für Jet-Lüfter",Sprachindex!A:Z,Info!$O$6,FALSE)</f>
        <v>Niro-Schraube mit Dichtscheibe für Jet-Lüfter</v>
      </c>
      <c r="F40" s="265"/>
      <c r="G40" s="265"/>
      <c r="H40" s="269"/>
      <c r="I40" s="270"/>
      <c r="J40" s="270"/>
      <c r="K40" s="271"/>
      <c r="L40" s="137" t="str">
        <f t="shared" si="0"/>
        <v/>
      </c>
      <c r="M40" s="138"/>
      <c r="O40" s="1"/>
      <c r="P40" s="11"/>
      <c r="Q40" s="11" t="str">
        <f>ROUNDUP(A40/100,0)*100 &amp;" " &amp; VLOOKUP("Stk",Sprachindex!A:Z,Info!$O$6,FALSE)</f>
        <v>0 STK</v>
      </c>
      <c r="T40" s="72">
        <v>340020</v>
      </c>
      <c r="U40" s="72">
        <v>340024</v>
      </c>
      <c r="V40" s="72">
        <v>340022</v>
      </c>
      <c r="W40" s="72">
        <v>340021</v>
      </c>
      <c r="Y40" s="72">
        <v>340025</v>
      </c>
      <c r="Z40" s="72">
        <v>340032</v>
      </c>
      <c r="AA40" s="72">
        <v>340027</v>
      </c>
      <c r="AC40" s="72">
        <v>340106</v>
      </c>
    </row>
    <row r="41" spans="1:439" ht="32.1" customHeight="1">
      <c r="A41" s="164"/>
      <c r="B41" s="137" t="str">
        <f>VLOOKUP("Stk",Sprachindex!A:Z,Info!$O$6,FALSE)</f>
        <v>STK</v>
      </c>
      <c r="C41" s="135"/>
      <c r="D41" s="136">
        <f>IF($N$20=1,T41,IF($N$20=4,U41,IF($N$20=5,V41,IF($N$20=11,W41,IF($N$20=7,X41,IF($N$20=3,Y41,IF($N$20=6,Z41,IF($N$20=9,AA41,IF($N$20=2,AB41,IF($N$20=8,AC41,0))))))))))</f>
        <v>0</v>
      </c>
      <c r="E41" s="264" t="str">
        <f>VLOOKUP("PREFA Froschmaulluken-Haube zum aufnieten glatt
Lüftungsquerschnitt ca. 30 cm²",Sprachindex!A:Z,Info!$O$6,FALSE)</f>
        <v>PREFA Froschmaulluken-Haube zum aufnieten glatt
Lüftungsquerschnitt ca. 30 cm²</v>
      </c>
      <c r="F41" s="265"/>
      <c r="G41" s="265"/>
      <c r="H41" s="265"/>
      <c r="I41" s="265"/>
      <c r="J41" s="265"/>
      <c r="K41" s="266"/>
      <c r="L41" s="137" t="str">
        <f t="shared" si="0"/>
        <v/>
      </c>
      <c r="M41" s="138"/>
      <c r="O41" s="1"/>
      <c r="P41" s="11"/>
      <c r="Q41" s="11" t="str">
        <f>ROUNDUP(A41/1,0)*1 &amp;" " &amp; VLOOKUP("Stk",Sprachindex!A:Z,Info!$O$6,FALSE)</f>
        <v>0 STK</v>
      </c>
      <c r="T41" s="72">
        <v>110100</v>
      </c>
      <c r="U41" s="72">
        <v>110101</v>
      </c>
      <c r="V41" s="72">
        <v>110102</v>
      </c>
      <c r="W41" s="72">
        <v>110103</v>
      </c>
      <c r="X41" s="72">
        <v>110104</v>
      </c>
      <c r="Y41" s="72">
        <v>110105</v>
      </c>
      <c r="Z41" s="72">
        <v>110106</v>
      </c>
      <c r="AA41" s="72">
        <v>110107</v>
      </c>
      <c r="AB41" s="72">
        <v>110108</v>
      </c>
      <c r="AC41" s="72">
        <v>512014</v>
      </c>
    </row>
    <row r="42" spans="1:439" ht="32.1" customHeight="1">
      <c r="A42" s="164"/>
      <c r="B42" s="137" t="str">
        <f>VLOOKUP("Stk",Sprachindex!A:Z,Info!$O$6,FALSE)</f>
        <v>STK</v>
      </c>
      <c r="C42" s="135"/>
      <c r="D42" s="142">
        <v>537730</v>
      </c>
      <c r="E42" s="264" t="str">
        <f>VLOOKUP("PREFA Dachluke (600x600 mm) komplett mit Holzrahmen",Sprachindex!A:Z,Info!$O$6,FALSE)</f>
        <v>PREFA Dachluke (600x600 mm) komplett mit Holzrahmen</v>
      </c>
      <c r="F42" s="265"/>
      <c r="G42" s="265"/>
      <c r="H42" s="265"/>
      <c r="I42" s="143"/>
      <c r="J42" s="143"/>
      <c r="K42" s="144"/>
      <c r="L42" s="137" t="str">
        <f t="shared" si="0"/>
        <v/>
      </c>
      <c r="M42" s="138"/>
      <c r="O42" s="1"/>
      <c r="P42" s="11"/>
      <c r="Q42" s="11" t="str">
        <f>ROUNDUP(A42/1,0)*1 &amp;" " &amp; VLOOKUP("Stk",Sprachindex!A:Z,Info!$O$6,FALSE)</f>
        <v>0 STK</v>
      </c>
      <c r="T42" s="75" t="s">
        <v>1554</v>
      </c>
      <c r="U42" s="75" t="s">
        <v>1555</v>
      </c>
      <c r="V42" s="75" t="s">
        <v>1556</v>
      </c>
      <c r="W42" s="75" t="s">
        <v>1557</v>
      </c>
      <c r="X42" s="75" t="s">
        <v>1558</v>
      </c>
      <c r="Y42" s="75" t="s">
        <v>1559</v>
      </c>
      <c r="Z42" s="75" t="s">
        <v>1560</v>
      </c>
      <c r="AA42" s="75" t="s">
        <v>1561</v>
      </c>
      <c r="AB42" s="75" t="s">
        <v>1562</v>
      </c>
      <c r="AC42" s="75" t="s">
        <v>1563</v>
      </c>
      <c r="AD42" s="75" t="s">
        <v>1554</v>
      </c>
      <c r="AE42" s="75" t="s">
        <v>1555</v>
      </c>
      <c r="AF42" s="75" t="s">
        <v>1556</v>
      </c>
      <c r="AG42" s="75" t="s">
        <v>1557</v>
      </c>
      <c r="AH42" s="75" t="s">
        <v>1558</v>
      </c>
      <c r="AI42" s="75" t="s">
        <v>1559</v>
      </c>
      <c r="AJ42" s="75" t="s">
        <v>1560</v>
      </c>
      <c r="AK42" s="75" t="s">
        <v>1561</v>
      </c>
      <c r="AL42" s="75" t="s">
        <v>1562</v>
      </c>
      <c r="AM42" s="75" t="s">
        <v>1563</v>
      </c>
    </row>
    <row r="43" spans="1:439" ht="32.1" customHeight="1">
      <c r="A43" s="164"/>
      <c r="B43" s="137" t="str">
        <f>VLOOKUP("Stk",Sprachindex!A:Z,Info!$O$6,FALSE)</f>
        <v>STK</v>
      </c>
      <c r="C43" s="135"/>
      <c r="D43" s="136">
        <f>IF(J43=Formeln!A26,AM43,IF(J43=Formeln!A27,BG43,IF(J43=Formeln!A28,CA43,IF(J43=Formeln!A29,CU43,IF(J43=Formeln!A30,DO43,IF(J43=Formeln!A31,EI43,IF(J43=Formeln!A32,FC43,IF(J43=Formeln!A33,FW43,IF(J43=Formeln!A34,GQ43,IF(J43=Formeln!A35,HK43,IF(J43=Formeln!A36,IE43,IF(J43=Formeln!A37,IY43,IF(J43=Formeln!A38,JS43,IF(J43=Formeln!A39,KM43,IF(J43=Formeln!A43,LG43,IF(J43=Formeln!A41,MA43,IF(J43=Formeln!A43,MU43,IF(J43=Formeln!A43,NO43,IF(J43=Formeln!A43,OI43,IF(J43=Formeln!A45,PC43,IF(J43=Formeln!A46,PW43,0)))))))))))))))))))))</f>
        <v>0</v>
      </c>
      <c r="E43" s="264" t="str">
        <f>VLOOKUP("PREFA Einfassung für Velux-Dachflächenfenster stucco",Sprachindex!A:Z,Info!$O$6,FALSE)</f>
        <v>PREFA Einfassung für Velux-Dachflächenfenster stucco</v>
      </c>
      <c r="F43" s="265"/>
      <c r="G43" s="265"/>
      <c r="H43" s="265"/>
      <c r="I43" s="145" t="str">
        <f>VLOOKUP("Maße:",Sprachindex!A:Z,Info!$O$6,FALSE)</f>
        <v>Maße:</v>
      </c>
      <c r="J43" s="269"/>
      <c r="K43" s="270"/>
      <c r="L43" s="137" t="str">
        <f t="shared" si="0"/>
        <v/>
      </c>
      <c r="M43" s="138"/>
      <c r="O43" s="1"/>
      <c r="P43" s="11"/>
      <c r="Q43" s="11" t="str">
        <f>ROUNDUP(A43/1,0)*1 &amp;" " &amp; VLOOKUP("Stk",Sprachindex!A:Z,Info!$O$6,FALSE)</f>
        <v>0 STK</v>
      </c>
      <c r="T43" s="72">
        <v>111110</v>
      </c>
      <c r="U43" s="76">
        <v>111111</v>
      </c>
      <c r="V43" s="76">
        <v>111112</v>
      </c>
      <c r="W43" s="76">
        <v>111113</v>
      </c>
      <c r="X43" s="76">
        <v>111114</v>
      </c>
      <c r="Y43" s="76">
        <v>111115</v>
      </c>
      <c r="Z43" s="76">
        <v>111116</v>
      </c>
      <c r="AA43" s="76">
        <v>111117</v>
      </c>
      <c r="AB43" s="76">
        <v>111118</v>
      </c>
      <c r="AD43" s="76">
        <v>111100</v>
      </c>
      <c r="AE43" s="76">
        <v>111101</v>
      </c>
      <c r="AF43" s="76">
        <v>111102</v>
      </c>
      <c r="AG43" s="76">
        <v>111103</v>
      </c>
      <c r="AH43" s="76">
        <v>111104</v>
      </c>
      <c r="AI43" s="76">
        <v>111105</v>
      </c>
      <c r="AJ43" s="76">
        <v>111106</v>
      </c>
      <c r="AK43" s="76">
        <v>111107</v>
      </c>
      <c r="AL43" s="76">
        <v>111108</v>
      </c>
      <c r="AM43" s="78">
        <f>IF(AND($N$8=2,$N$20=1),T43,IF(AND($N$8=2,$N$20=4),U43,IF(AND($N$8=2,$N$20=5),V43,IF(AND($N$8=2,$N$20=11),W43,IF(AND($N$8=2,$N$20=7),X43,IF(AND($N$8=2,$N$20=3),Y43,IF(AND($N$8=2,$N$20=6),Z43,IF(AND($N$8=2,$N$20=9),AA43,IF(AND($N$8=2,$N$20=2),AB43,IF(AND($N$8=2,$N$20=8),AC43,IF(AND($N$8=1,$N$20=1),AD43,IF(AND($N$8=1,$N$20=1),AD43,IF(AND($N$8=1,$N$20=4),AE43,IF(AND($N$8=1,$N$20=5),AF43,IF(AND($N$8=1,$N$20=11),AG43,IF(AND($N$8=1,$N$20=7),AH43,IF(AND($N$8=1,$N$20=3),AI43,IF(AND($N$8=1,$N$20=6),AJ43,IF(AND($N$8=1,$N$20=9),AK43,IF(AND($N$8=1,$N$20=2),AL43,0))))))))))))))))))))</f>
        <v>0</v>
      </c>
      <c r="AN43" s="77">
        <v>111110</v>
      </c>
      <c r="AO43" s="76">
        <v>111111</v>
      </c>
      <c r="AP43" s="76">
        <v>111112</v>
      </c>
      <c r="AQ43" s="76">
        <v>111113</v>
      </c>
      <c r="AR43" s="76">
        <v>111114</v>
      </c>
      <c r="AS43" s="76">
        <v>111115</v>
      </c>
      <c r="AT43" s="76">
        <v>111116</v>
      </c>
      <c r="AU43" s="76">
        <v>111117</v>
      </c>
      <c r="AV43" s="76">
        <v>111118</v>
      </c>
      <c r="AX43" s="76">
        <v>111100</v>
      </c>
      <c r="AY43" s="76">
        <v>111101</v>
      </c>
      <c r="AZ43" s="76">
        <v>111102</v>
      </c>
      <c r="BA43" s="76">
        <v>111103</v>
      </c>
      <c r="BB43" s="76">
        <v>111104</v>
      </c>
      <c r="BC43" s="76">
        <v>111105</v>
      </c>
      <c r="BD43" s="76">
        <v>111106</v>
      </c>
      <c r="BE43" s="76">
        <v>111107</v>
      </c>
      <c r="BF43" s="76">
        <v>111108</v>
      </c>
      <c r="BG43" s="78">
        <f>IF(AND($N$8=2,$N$20=1),AN43,IF(AND($N$8=2,$N$20=4),AO43,IF(AND($N$8=2,$N$20=5),AP43,IF(AND($N$8=2,$N$20=11),AQ43,IF(AND($N$8=2,$N$20=7),AR43,IF(AND($N$8=2,$N$20=3),AS43,IF(AND($N$8=2,$N$20=6),AT43,IF(AND($N$8=2,$N$20=9),AU43,IF(AND($N$8=2,$N$20=2),AV43,IF(AND($N$8=2,$N$20=8),AW43,IF(AND($N$8=1,$N$20=1),AX43,IF(AND($N$8=1,$N$20=1),AX43,IF(AND($N$8=1,$N$20=4),AY43,IF(AND($N$8=1,$N$20=5),AZ43,IF(AND($N$8=1,$N$20=11),BA43,IF(AND($N$8=1,$N$20=7),BB43,IF(AND($N$8=1,$N$20=3),BC43,IF(AND($N$8=1,$N$20=6),BD43,IF(AND($N$8=1,$N$20=9),BE43,IF(AND($N$8=1,$N$20=2),BF43,0))))))))))))))))))))</f>
        <v>0</v>
      </c>
      <c r="BH43" s="77">
        <v>111110</v>
      </c>
      <c r="BI43" s="76">
        <v>111111</v>
      </c>
      <c r="BJ43" s="76">
        <v>111112</v>
      </c>
      <c r="BK43" s="76">
        <v>111113</v>
      </c>
      <c r="BL43" s="76">
        <v>111114</v>
      </c>
      <c r="BM43" s="76">
        <v>111115</v>
      </c>
      <c r="BN43" s="76">
        <v>111116</v>
      </c>
      <c r="BO43" s="76">
        <v>111117</v>
      </c>
      <c r="BP43" s="76">
        <v>111118</v>
      </c>
      <c r="BR43" s="76">
        <v>111100</v>
      </c>
      <c r="BS43" s="76">
        <v>111101</v>
      </c>
      <c r="BT43" s="76">
        <v>111102</v>
      </c>
      <c r="BU43" s="76">
        <v>111103</v>
      </c>
      <c r="BV43" s="76">
        <v>111104</v>
      </c>
      <c r="BW43" s="76">
        <v>111105</v>
      </c>
      <c r="BX43" s="76">
        <v>111106</v>
      </c>
      <c r="BY43" s="76">
        <v>111107</v>
      </c>
      <c r="BZ43" s="76">
        <v>111108</v>
      </c>
      <c r="CA43" s="78">
        <f>IF(AND($N$8=2,$N$20=1),BH43,IF(AND($N$8=2,$N$20=4),BI43,IF(AND($N$8=2,$N$20=5),BJ43,IF(AND($N$8=2,$N$20=11),BK43,IF(AND($N$8=2,$N$20=7),BL43,IF(AND($N$8=2,$N$20=3),BM43,IF(AND($N$8=2,$N$20=6),BN43,IF(AND($N$8=2,$N$20=9),BO43,IF(AND($N$8=2,$N$20=2),BP43,IF(AND($N$8=2,$N$20=8),BQ43,IF(AND($N$8=1,$N$20=1),BR43,IF(AND($N$8=1,$N$20=1),BR43,IF(AND($N$8=1,$N$20=4),BS43,IF(AND($N$8=1,$N$20=5),BT43,IF(AND($N$8=1,$N$20=11),BU43,IF(AND($N$8=1,$N$20=7),BV43,IF(AND($N$8=1,$N$20=3),BW43,IF(AND($N$8=1,$N$20=6),BX43,IF(AND($N$8=1,$N$20=9),BY43,IF(AND($N$8=1,$N$20=2),BZ43,0))))))))))))))))))))</f>
        <v>0</v>
      </c>
      <c r="CB43" s="77">
        <v>111130</v>
      </c>
      <c r="CC43" s="72">
        <v>111131</v>
      </c>
      <c r="CD43" s="72">
        <v>111132</v>
      </c>
      <c r="CE43" s="72">
        <v>111133</v>
      </c>
      <c r="CF43" s="72">
        <v>111134</v>
      </c>
      <c r="CG43" s="72">
        <v>111135</v>
      </c>
      <c r="CH43" s="72">
        <v>111136</v>
      </c>
      <c r="CI43" s="72">
        <v>111137</v>
      </c>
      <c r="CJ43" s="72">
        <v>111138</v>
      </c>
      <c r="CL43" s="72">
        <v>111120</v>
      </c>
      <c r="CM43" s="72">
        <v>111121</v>
      </c>
      <c r="CN43" s="72">
        <v>111122</v>
      </c>
      <c r="CO43" s="72">
        <v>111123</v>
      </c>
      <c r="CP43" s="72">
        <v>111124</v>
      </c>
      <c r="CQ43" s="72">
        <v>111125</v>
      </c>
      <c r="CR43" s="72">
        <v>111126</v>
      </c>
      <c r="CS43" s="72">
        <v>111127</v>
      </c>
      <c r="CT43" s="72">
        <v>111128</v>
      </c>
      <c r="CU43" s="78">
        <f>IF(AND($N$8=2,$N$20=1),CB43,IF(AND($N$8=2,$N$20=4),CC43,IF(AND($N$8=2,$N$20=5),CD43,IF(AND($N$8=2,$N$20=11),CE43,IF(AND($N$8=2,$N$20=7),CF43,IF(AND($N$8=2,$N$20=3),CG43,IF(AND($N$8=2,$N$20=6),CH43,IF(AND($N$8=2,$N$20=9),CI43,IF(AND($N$8=2,$N$20=2),CJ43,IF(AND($N$8=2,$N$20=8),CK43,IF(AND($N$8=1,$N$20=1),CL43,IF(AND($N$8=1,$N$20=1),CL43,IF(AND($N$8=1,$N$20=4),CM43,IF(AND($N$8=1,$N$20=5),CN43,IF(AND($N$8=1,$N$20=11),CO43,IF(AND($N$8=1,$N$20=7),CP43,IF(AND($N$8=1,$N$20=3),CQ43,IF(AND($N$8=1,$N$20=6),CR43,IF(AND($N$8=1,$N$20=9),CS43,IF(AND($N$8=1,$N$20=2),CT43,0))))))))))))))))))))</f>
        <v>0</v>
      </c>
      <c r="CV43" s="77">
        <v>111130</v>
      </c>
      <c r="CW43" s="72">
        <v>111131</v>
      </c>
      <c r="CX43" s="72">
        <v>111132</v>
      </c>
      <c r="CY43" s="72">
        <v>111133</v>
      </c>
      <c r="CZ43" s="72">
        <v>111134</v>
      </c>
      <c r="DA43" s="72">
        <v>111135</v>
      </c>
      <c r="DB43" s="72">
        <v>111136</v>
      </c>
      <c r="DC43" s="72">
        <v>111137</v>
      </c>
      <c r="DD43" s="72">
        <v>111138</v>
      </c>
      <c r="DF43" s="72">
        <v>111120</v>
      </c>
      <c r="DG43" s="72">
        <v>111121</v>
      </c>
      <c r="DH43" s="72">
        <v>111122</v>
      </c>
      <c r="DI43" s="72">
        <v>111123</v>
      </c>
      <c r="DJ43" s="72">
        <v>111124</v>
      </c>
      <c r="DK43" s="72">
        <v>111125</v>
      </c>
      <c r="DL43" s="72">
        <v>111126</v>
      </c>
      <c r="DM43" s="72">
        <v>111127</v>
      </c>
      <c r="DN43" s="72">
        <v>111128</v>
      </c>
      <c r="DO43" s="78">
        <f>IF(AND($N$8=2,$N$20=1),CV43,IF(AND($N$8=2,$N$20=4),CW43,IF(AND($N$8=2,$N$20=5),CX43,IF(AND($N$8=2,$N$20=11),CY43,IF(AND($N$8=2,$N$20=7),CZ43,IF(AND($N$8=2,$N$20=3),DA43,IF(AND($N$8=2,$N$20=6),DB43,IF(AND($N$8=2,$N$20=9),DC43,IF(AND($N$8=2,$N$20=2),DD43,IF(AND($N$8=2,$N$20=8),DE43,IF(AND($N$8=1,$N$20=1),DF43,IF(AND($N$8=1,$N$20=1),DF43,IF(AND($N$8=1,$N$20=4),DG43,IF(AND($N$8=1,$N$20=5),DH43,IF(AND($N$8=1,$N$20=11),DI43,IF(AND($N$8=1,$N$20=7),DJ43,IF(AND($N$8=1,$N$20=3),DK43,IF(AND($N$8=1,$N$20=6),DL43,IF(AND($N$8=1,$N$20=9),DM43,IF(AND($N$8=1,$N$20=2),DN43,0))))))))))))))))))))</f>
        <v>0</v>
      </c>
      <c r="DP43" s="77">
        <v>111270</v>
      </c>
      <c r="DQ43" s="72">
        <v>111271</v>
      </c>
      <c r="DR43" s="72">
        <v>111272</v>
      </c>
      <c r="DS43" s="72">
        <v>111273</v>
      </c>
      <c r="DT43" s="72">
        <v>111274</v>
      </c>
      <c r="DU43" s="72">
        <v>111275</v>
      </c>
      <c r="DV43" s="72">
        <v>111276</v>
      </c>
      <c r="DW43" s="72">
        <v>111277</v>
      </c>
      <c r="DX43" s="72">
        <v>111278</v>
      </c>
      <c r="DZ43" s="72">
        <v>111260</v>
      </c>
      <c r="EA43" s="72">
        <v>111261</v>
      </c>
      <c r="EB43" s="72">
        <v>111262</v>
      </c>
      <c r="EC43" s="72">
        <v>111263</v>
      </c>
      <c r="ED43" s="72">
        <v>111264</v>
      </c>
      <c r="EE43" s="72">
        <v>111265</v>
      </c>
      <c r="EF43" s="72">
        <v>111266</v>
      </c>
      <c r="EG43" s="72">
        <v>111267</v>
      </c>
      <c r="EH43" s="72">
        <v>111268</v>
      </c>
      <c r="EI43" s="78">
        <f>IF(AND($N$8=2,$N$20=1),DP43,IF(AND($N$8=2,$N$20=4),DQ43,IF(AND($N$8=2,$N$20=5),DR43,IF(AND($N$8=2,$N$20=11),DS43,IF(AND($N$8=2,$N$20=7),DT43,IF(AND($N$8=2,$N$20=3),DU43,IF(AND($N$8=2,$N$20=6),DV43,IF(AND($N$8=2,$N$20=9),DW43,IF(AND($N$8=2,$N$20=2),DX43,IF(AND($N$8=2,$N$20=8),DY43,IF(AND($N$8=1,$N$20=1),DZ43,IF(AND($N$8=1,$N$20=1),DZ43,IF(AND($N$8=1,$N$20=4),EA43,IF(AND($N$8=1,$N$20=5),EB43,IF(AND($N$8=1,$N$20=11),EC43,IF(AND($N$8=1,$N$20=7),ED43,IF(AND($N$8=1,$N$20=3),EE43,IF(AND($N$8=1,$N$20=6),EF43,IF(AND($N$8=1,$N$20=9),EG43,IF(AND($N$8=1,$N$20=2),EH43,0))))))))))))))))))))</f>
        <v>0</v>
      </c>
      <c r="EJ43" s="77">
        <v>111170</v>
      </c>
      <c r="EK43" s="72">
        <v>111171</v>
      </c>
      <c r="EL43" s="72">
        <v>111172</v>
      </c>
      <c r="EM43" s="72">
        <v>111173</v>
      </c>
      <c r="EN43" s="72">
        <v>111174</v>
      </c>
      <c r="EO43" s="72">
        <v>111175</v>
      </c>
      <c r="EP43" s="72">
        <v>111176</v>
      </c>
      <c r="EQ43" s="72">
        <v>111177</v>
      </c>
      <c r="ER43" s="72">
        <v>111178</v>
      </c>
      <c r="ET43" s="72">
        <v>111160</v>
      </c>
      <c r="EU43" s="72">
        <v>111161</v>
      </c>
      <c r="EV43" s="72">
        <v>111162</v>
      </c>
      <c r="EW43" s="72">
        <v>111163</v>
      </c>
      <c r="EX43" s="72">
        <v>111164</v>
      </c>
      <c r="EY43" s="72">
        <v>111165</v>
      </c>
      <c r="EZ43" s="72">
        <v>111166</v>
      </c>
      <c r="FA43" s="72">
        <v>111167</v>
      </c>
      <c r="FB43" s="72">
        <v>111168</v>
      </c>
      <c r="FC43" s="78">
        <f>IF(AND($N$8=2,$N$20=1),EJ43,IF(AND($N$8=2,$N$20=4),EK43,IF(AND($N$8=2,$N$20=5),EL43,IF(AND($N$8=2,$N$20=11),EM43,IF(AND($N$8=2,$N$20=7),EN43,IF(AND($N$8=2,$N$20=3),EO43,IF(AND($N$8=2,$N$20=6),EP43,IF(AND($N$8=2,$N$20=9),EQ43,IF(AND($N$8=2,$N$20=2),ER43,IF(AND($N$8=2,$N$20=8),ES43,IF(AND($N$8=1,$N$20=1),ET43,IF(AND($N$8=1,$N$20=1),ET43,IF(AND($N$8=1,$N$20=4),EU43,IF(AND($N$8=1,$N$20=5),EV43,IF(AND($N$8=1,$N$20=11),EW43,IF(AND($N$8=1,$N$20=7),EX43,IF(AND($N$8=1,$N$20=3),EY43,IF(AND($N$8=1,$N$20=6),EZ43,IF(AND($N$8=1,$N$20=9),FA43,IF(AND($N$8=1,$N$20=2),FB43,0))))))))))))))))))))</f>
        <v>0</v>
      </c>
      <c r="FD43" s="77">
        <v>111170</v>
      </c>
      <c r="FE43" s="72">
        <v>111171</v>
      </c>
      <c r="FF43" s="72">
        <v>111172</v>
      </c>
      <c r="FG43" s="72">
        <v>111173</v>
      </c>
      <c r="FH43" s="72">
        <v>111174</v>
      </c>
      <c r="FI43" s="72">
        <v>111175</v>
      </c>
      <c r="FJ43" s="72">
        <v>111176</v>
      </c>
      <c r="FK43" s="72">
        <v>111177</v>
      </c>
      <c r="FL43" s="72">
        <v>111178</v>
      </c>
      <c r="FN43" s="72">
        <v>111160</v>
      </c>
      <c r="FO43" s="72">
        <v>111161</v>
      </c>
      <c r="FP43" s="72">
        <v>111162</v>
      </c>
      <c r="FQ43" s="72">
        <v>111163</v>
      </c>
      <c r="FR43" s="72">
        <v>111164</v>
      </c>
      <c r="FS43" s="72">
        <v>111165</v>
      </c>
      <c r="FT43" s="72">
        <v>111166</v>
      </c>
      <c r="FU43" s="72">
        <v>111167</v>
      </c>
      <c r="FV43" s="72">
        <v>111168</v>
      </c>
      <c r="FW43" s="78">
        <f>IF(AND($N$8=2,$N$20=1),FD43,IF(AND($N$8=2,$N$20=4),FE43,IF(AND($N$8=2,$N$20=5),FF43,IF(AND($N$8=2,$N$20=11),FG43,IF(AND($N$8=2,$N$20=7),FH43,IF(AND($N$8=2,$N$20=3),FI43,IF(AND($N$8=2,$N$20=6),FJ43,IF(AND($N$8=2,$N$20=9),FK43,IF(AND($N$8=2,$N$20=2),FL43,IF(AND($N$8=2,$N$20=8),FM43,IF(AND($N$8=1,$N$20=1),FN43,IF(AND($N$8=1,$N$20=1),FN43,IF(AND($N$8=1,$N$20=4),FO43,IF(AND($N$8=1,$N$20=5),FP43,IF(AND($N$8=1,$N$20=11),FQ43,IF(AND($N$8=1,$N$20=7),FR43,IF(AND($N$8=1,$N$20=3),FS43,IF(AND($N$8=1,$N$20=6),FT43,IF(AND($N$8=1,$N$20=9),FU43,IF(AND($N$8=1,$N$20=2),FV43,0))))))))))))))))))))</f>
        <v>0</v>
      </c>
      <c r="FX43" s="77">
        <v>111170</v>
      </c>
      <c r="FY43" s="72">
        <v>111171</v>
      </c>
      <c r="FZ43" s="72">
        <v>111172</v>
      </c>
      <c r="GA43" s="72">
        <v>111173</v>
      </c>
      <c r="GB43" s="72">
        <v>111174</v>
      </c>
      <c r="GC43" s="72">
        <v>111175</v>
      </c>
      <c r="GD43" s="72">
        <v>111176</v>
      </c>
      <c r="GE43" s="72">
        <v>111177</v>
      </c>
      <c r="GF43" s="72">
        <v>111178</v>
      </c>
      <c r="GH43" s="72">
        <v>111160</v>
      </c>
      <c r="GI43" s="72">
        <v>111161</v>
      </c>
      <c r="GJ43" s="72">
        <v>111162</v>
      </c>
      <c r="GK43" s="72">
        <v>111163</v>
      </c>
      <c r="GL43" s="72">
        <v>111164</v>
      </c>
      <c r="GM43" s="72">
        <v>111165</v>
      </c>
      <c r="GN43" s="72">
        <v>111166</v>
      </c>
      <c r="GO43" s="72">
        <v>111167</v>
      </c>
      <c r="GP43" s="72">
        <v>111168</v>
      </c>
      <c r="GQ43" s="78">
        <f>IF(AND($N$8=2,$N$20=1),FX43,IF(AND($N$8=2,$N$20=4),FY43,IF(AND($N$8=2,$N$20=5),FZ43,IF(AND($N$8=2,$N$20=11),GA43,IF(AND($N$8=2,$N$20=7),GB43,IF(AND($N$8=2,$N$20=3),GC43,IF(AND($N$8=2,$N$20=6),GD43,IF(AND($N$8=2,$N$20=9),GE43,IF(AND($N$8=2,$N$20=2),GF43,IF(AND($N$8=2,$N$20=8),GG43,IF(AND($N$8=1,$N$20=1),GH43,IF(AND($N$8=1,$N$20=1),GH43,IF(AND($N$8=1,$N$20=4),GI43,IF(AND($N$8=1,$N$20=5),GJ43,IF(AND($N$8=1,$N$20=11),GK43,IF(AND($N$8=1,$N$20=7),GL43,IF(AND($N$8=1,$N$20=3),GM43,IF(AND($N$8=1,$N$20=6),GN43,IF(AND($N$8=1,$N$20=9),GO43,IF(AND($N$8=1,$N$20=2),GP43,0))))))))))))))))))))</f>
        <v>0</v>
      </c>
      <c r="GR43" s="77">
        <v>111290</v>
      </c>
      <c r="GS43" s="72">
        <v>111291</v>
      </c>
      <c r="GT43" s="72">
        <v>111292</v>
      </c>
      <c r="GU43" s="72">
        <v>111293</v>
      </c>
      <c r="GV43" s="72">
        <v>111294</v>
      </c>
      <c r="GW43" s="72">
        <v>111295</v>
      </c>
      <c r="GX43" s="72">
        <v>111296</v>
      </c>
      <c r="GY43" s="72">
        <v>111297</v>
      </c>
      <c r="GZ43" s="72">
        <v>111298</v>
      </c>
      <c r="HB43" s="72">
        <v>111280</v>
      </c>
      <c r="HC43" s="72">
        <v>111281</v>
      </c>
      <c r="HD43" s="72">
        <v>111282</v>
      </c>
      <c r="HE43" s="72">
        <v>111283</v>
      </c>
      <c r="HF43" s="72">
        <v>111284</v>
      </c>
      <c r="HG43" s="72">
        <v>111285</v>
      </c>
      <c r="HH43" s="72">
        <v>111286</v>
      </c>
      <c r="HI43" s="72">
        <v>111287</v>
      </c>
      <c r="HJ43" s="72">
        <v>111288</v>
      </c>
      <c r="HK43" s="78">
        <f>IF(AND($N$8=2,$N$20=1),GR43,IF(AND($N$8=2,$N$20=4),GS43,IF(AND($N$8=2,$N$20=5),GT43,IF(AND($N$8=2,$N$20=11),GU43,IF(AND($N$8=2,$N$20=7),GV43,IF(AND($N$8=2,$N$20=3),GW43,IF(AND($N$8=2,$N$20=6),GX43,IF(AND($N$8=2,$N$20=9),GY43,IF(AND($N$8=2,$N$20=2),GZ43,IF(AND($N$8=2,$N$20=8),HA43,IF(AND($N$8=1,$N$20=1),HB43,IF(AND($N$8=1,$N$20=1),HB43,IF(AND($N$8=1,$N$20=4),HC43,IF(AND($N$8=1,$N$20=5),HD43,IF(AND($N$8=1,$N$20=11),HE43,IF(AND($N$8=1,$N$20=7),HF43,IF(AND($N$8=1,$N$20=3),HG43,IF(AND($N$8=1,$N$20=6),HH43,IF(AND($N$8=1,$N$20=9),HI43,IF(AND($N$8=1,$N$20=2),HJ43,0))))))))))))))))))))</f>
        <v>0</v>
      </c>
      <c r="HL43" s="77">
        <v>111290</v>
      </c>
      <c r="HM43" s="72">
        <v>111291</v>
      </c>
      <c r="HN43" s="72">
        <v>111292</v>
      </c>
      <c r="HO43" s="72">
        <v>111293</v>
      </c>
      <c r="HP43" s="72">
        <v>111294</v>
      </c>
      <c r="HQ43" s="72">
        <v>111295</v>
      </c>
      <c r="HR43" s="72">
        <v>111296</v>
      </c>
      <c r="HS43" s="72">
        <v>111297</v>
      </c>
      <c r="HT43" s="72">
        <v>111298</v>
      </c>
      <c r="HV43" s="72">
        <v>111280</v>
      </c>
      <c r="HW43" s="72">
        <v>111281</v>
      </c>
      <c r="HX43" s="72">
        <v>111282</v>
      </c>
      <c r="HY43" s="72">
        <v>111283</v>
      </c>
      <c r="HZ43" s="72">
        <v>111284</v>
      </c>
      <c r="IA43" s="72">
        <v>111285</v>
      </c>
      <c r="IB43" s="72">
        <v>111286</v>
      </c>
      <c r="IC43" s="72">
        <v>111287</v>
      </c>
      <c r="ID43" s="72">
        <v>111288</v>
      </c>
      <c r="IE43" s="78">
        <f>IF(AND($N$8=2,$N$20=1),HL43,IF(AND($N$8=2,$N$20=4),HM43,IF(AND($N$8=2,$N$20=5),HN43,IF(AND($N$8=2,$N$20=11),HO43,IF(AND($N$8=2,$N$20=7),HP43,IF(AND($N$8=2,$N$20=3),HQ43,IF(AND($N$8=2,$N$20=6),HR43,IF(AND($N$8=2,$N$20=9),HS43,IF(AND($N$8=2,$N$20=2),HT43,IF(AND($N$8=2,$N$20=8),HU43,IF(AND($N$8=1,$N$20=1),HV43,IF(AND($N$8=1,$N$20=1),HV43,IF(AND($N$8=1,$N$20=4),HW43,IF(AND($N$8=1,$N$20=5),HX43,IF(AND($N$8=1,$N$20=11),HY43,IF(AND($N$8=1,$N$20=7),HZ43,IF(AND($N$8=1,$N$20=3),IA43,IF(AND($N$8=1,$N$20=6),IB43,IF(AND($N$8=1,$N$20=9),IC43,IF(AND($N$8=1,$N$20=2),ID43,0))))))))))))))))))))</f>
        <v>0</v>
      </c>
      <c r="IF43" s="77">
        <v>111190</v>
      </c>
      <c r="IG43" s="72">
        <v>111191</v>
      </c>
      <c r="IH43" s="72">
        <v>111192</v>
      </c>
      <c r="II43" s="72">
        <v>111193</v>
      </c>
      <c r="IJ43" s="72">
        <v>111194</v>
      </c>
      <c r="IK43" s="72">
        <v>111195</v>
      </c>
      <c r="IL43" s="72">
        <v>111196</v>
      </c>
      <c r="IM43" s="72">
        <v>111197</v>
      </c>
      <c r="IN43" s="72">
        <v>111198</v>
      </c>
      <c r="IP43" s="72">
        <v>111180</v>
      </c>
      <c r="IQ43" s="72">
        <v>111181</v>
      </c>
      <c r="IR43" s="72">
        <v>111182</v>
      </c>
      <c r="IS43" s="72">
        <v>111183</v>
      </c>
      <c r="IT43" s="72">
        <v>111184</v>
      </c>
      <c r="IU43" s="72">
        <v>111185</v>
      </c>
      <c r="IV43" s="72">
        <v>111186</v>
      </c>
      <c r="IW43" s="72">
        <v>111187</v>
      </c>
      <c r="IX43" s="72">
        <v>111188</v>
      </c>
      <c r="IY43" s="78">
        <f>IF(AND($N$8=2,$N$20=1),IF43,IF(AND($N$8=2,$N$20=4),IG43,IF(AND($N$8=2,$N$20=5),IH43,IF(AND($N$8=2,$N$20=11),II43,IF(AND($N$8=2,$N$20=7),IJ43,IF(AND($N$8=2,$N$20=3),IK43,IF(AND($N$8=2,$N$20=6),IL43,IF(AND($N$8=2,$N$20=9),IM43,IF(AND($N$8=2,$N$20=2),IN43,IF(AND($N$8=2,$N$20=8),IO43,IF(AND($N$8=1,$N$20=1),IP43,IF(AND($N$8=1,$N$20=1),IP43,IF(AND($N$8=1,$N$20=4),IQ43,IF(AND($N$8=1,$N$20=5),IR43,IF(AND($N$8=1,$N$20=11),IS43,IF(AND($N$8=1,$N$20=7),IT43,IF(AND($N$8=1,$N$20=3),IU43,IF(AND($N$8=1,$N$20=6),IV43,IF(AND($N$8=1,$N$20=9),IW43,IF(AND($N$8=1,$N$20=2),IX43,0))))))))))))))))))))</f>
        <v>0</v>
      </c>
      <c r="IZ43" s="77">
        <v>111190</v>
      </c>
      <c r="JA43" s="72">
        <v>111191</v>
      </c>
      <c r="JB43" s="72">
        <v>111192</v>
      </c>
      <c r="JC43" s="72">
        <v>111193</v>
      </c>
      <c r="JD43" s="72">
        <v>111194</v>
      </c>
      <c r="JE43" s="72">
        <v>111195</v>
      </c>
      <c r="JF43" s="72">
        <v>111196</v>
      </c>
      <c r="JG43" s="72">
        <v>111197</v>
      </c>
      <c r="JH43" s="72">
        <v>111198</v>
      </c>
      <c r="JJ43" s="72">
        <v>111180</v>
      </c>
      <c r="JK43" s="72">
        <v>111181</v>
      </c>
      <c r="JL43" s="72">
        <v>111182</v>
      </c>
      <c r="JM43" s="72">
        <v>111183</v>
      </c>
      <c r="JN43" s="72">
        <v>111184</v>
      </c>
      <c r="JO43" s="72">
        <v>111185</v>
      </c>
      <c r="JP43" s="72">
        <v>111186</v>
      </c>
      <c r="JQ43" s="72">
        <v>111187</v>
      </c>
      <c r="JR43" s="72">
        <v>111188</v>
      </c>
      <c r="JS43" s="78">
        <f>IF(AND($N$8=2,$N$20=1),IZ43,IF(AND($N$8=2,$N$20=4),JA43,IF(AND($N$8=2,$N$20=5),JB43,IF(AND($N$8=2,$N$20=11),JC43,IF(AND($N$8=2,$N$20=7),JD43,IF(AND($N$8=2,$N$20=3),JE43,IF(AND($N$8=2,$N$20=6),JF43,IF(AND($N$8=2,$N$20=9),JG43,IF(AND($N$8=2,$N$20=2),JH43,IF(AND($N$8=2,$N$20=8),JI43,IF(AND($N$8=1,$N$20=1),JJ43,IF(AND($N$8=1,$N$20=1),JJ43,IF(AND($N$8=1,$N$20=4),JK43,IF(AND($N$8=1,$N$20=5),JL43,IF(AND($N$8=1,$N$20=11),JM43,IF(AND($N$8=1,$N$20=7),JN43,IF(AND($N$8=1,$N$20=3),JO43,IF(AND($N$8=1,$N$20=6),JP43,IF(AND($N$8=1,$N$20=9),JQ43,IF(AND($N$8=1,$N$20=2),JR43,0))))))))))))))))))))</f>
        <v>0</v>
      </c>
      <c r="JT43" s="77">
        <v>111190</v>
      </c>
      <c r="JU43" s="72">
        <v>111191</v>
      </c>
      <c r="JV43" s="72">
        <v>111192</v>
      </c>
      <c r="JW43" s="72">
        <v>111193</v>
      </c>
      <c r="JX43" s="72">
        <v>111194</v>
      </c>
      <c r="JY43" s="72">
        <v>111195</v>
      </c>
      <c r="JZ43" s="72">
        <v>111196</v>
      </c>
      <c r="KA43" s="72">
        <v>111197</v>
      </c>
      <c r="KB43" s="72">
        <v>111198</v>
      </c>
      <c r="KD43" s="72">
        <v>111180</v>
      </c>
      <c r="KE43" s="72">
        <v>111181</v>
      </c>
      <c r="KF43" s="72">
        <v>111182</v>
      </c>
      <c r="KG43" s="72">
        <v>111183</v>
      </c>
      <c r="KH43" s="72">
        <v>111184</v>
      </c>
      <c r="KI43" s="72">
        <v>111185</v>
      </c>
      <c r="KJ43" s="72">
        <v>111186</v>
      </c>
      <c r="KK43" s="72">
        <v>111187</v>
      </c>
      <c r="KL43" s="72">
        <v>111188</v>
      </c>
      <c r="KM43" s="78">
        <f>IF(AND($N$8=2,$N$20=1),JT43,IF(AND($N$8=2,$N$20=4),JU43,IF(AND($N$8=2,$N$20=5),JV43,IF(AND($N$8=2,$N$20=11),JW43,IF(AND($N$8=2,$N$20=7),JX43,IF(AND($N$8=2,$N$20=3),JY43,IF(AND($N$8=2,$N$20=6),JZ43,IF(AND($N$8=2,$N$20=9),KA43,IF(AND($N$8=2,$N$20=2),KB43,IF(AND($N$8=2,$N$20=8),KC43,IF(AND($N$8=1,$N$20=1),KD43,IF(AND($N$8=1,$N$20=1),KD43,IF(AND($N$8=1,$N$20=4),KE43,IF(AND($N$8=1,$N$20=5),KF43,IF(AND($N$8=1,$N$20=11),KG43,IF(AND($N$8=1,$N$20=7),KH43,IF(AND($N$8=1,$N$20=3),KI43,IF(AND($N$8=1,$N$20=6),KJ43,IF(AND($N$8=1,$N$20=9),KK43,IF(AND($N$8=1,$N$20=2),KL43,0))))))))))))))))))))</f>
        <v>0</v>
      </c>
      <c r="KN43" s="77">
        <v>111210</v>
      </c>
      <c r="KO43" s="72">
        <v>111211</v>
      </c>
      <c r="KP43" s="72">
        <v>111212</v>
      </c>
      <c r="KQ43" s="72">
        <v>111213</v>
      </c>
      <c r="KR43" s="72">
        <v>111214</v>
      </c>
      <c r="KS43" s="72">
        <v>111215</v>
      </c>
      <c r="KT43" s="72">
        <v>111216</v>
      </c>
      <c r="KU43" s="72">
        <v>111217</v>
      </c>
      <c r="KV43" s="72">
        <v>111218</v>
      </c>
      <c r="KX43" s="72">
        <v>111200</v>
      </c>
      <c r="KY43" s="72">
        <v>111201</v>
      </c>
      <c r="KZ43" s="72">
        <v>111202</v>
      </c>
      <c r="LA43" s="72">
        <v>111203</v>
      </c>
      <c r="LB43" s="72">
        <v>111204</v>
      </c>
      <c r="LC43" s="72">
        <v>111205</v>
      </c>
      <c r="LD43" s="72">
        <v>111206</v>
      </c>
      <c r="LE43" s="72">
        <v>111207</v>
      </c>
      <c r="LF43" s="72">
        <v>111208</v>
      </c>
      <c r="LG43" s="78">
        <f>IF(AND($N$8=2,$N$20=1),KN43,IF(AND($N$8=2,$N$20=4),KO43,IF(AND($N$8=2,$N$20=5),KP43,IF(AND($N$8=2,$N$20=11),KQ43,IF(AND($N$8=2,$N$20=7),KR43,IF(AND($N$8=2,$N$20=3),KS43,IF(AND($N$8=2,$N$20=6),KT43,IF(AND($N$8=2,$N$20=9),KU43,IF(AND($N$8=2,$N$20=2),KV43,IF(AND($N$8=2,$N$20=8),KW43,IF(AND($N$8=1,$N$20=1),KX43,IF(AND($N$8=1,$N$20=1),KX43,IF(AND($N$8=1,$N$20=4),KY43,IF(AND($N$8=1,$N$20=5),KZ43,IF(AND($N$8=1,$N$20=11),LA43,IF(AND($N$8=1,$N$20=7),LB43,IF(AND($N$8=1,$N$20=3),LC43,IF(AND($N$8=1,$N$20=6),LD43,IF(AND($N$8=1,$N$20=9),LE43,IF(AND($N$8=1,$N$20=2),LF43,0))))))))))))))))))))</f>
        <v>0</v>
      </c>
      <c r="LH43" s="77">
        <v>111230</v>
      </c>
      <c r="LI43" s="72">
        <v>111231</v>
      </c>
      <c r="LJ43" s="72">
        <v>111232</v>
      </c>
      <c r="LK43" s="72">
        <v>111233</v>
      </c>
      <c r="LL43" s="72">
        <v>111234</v>
      </c>
      <c r="LM43" s="72">
        <v>111235</v>
      </c>
      <c r="LN43" s="72">
        <v>111236</v>
      </c>
      <c r="LO43" s="72">
        <v>111237</v>
      </c>
      <c r="LP43" s="72">
        <v>111238</v>
      </c>
      <c r="LR43" s="72">
        <v>111220</v>
      </c>
      <c r="LS43" s="72">
        <v>111221</v>
      </c>
      <c r="LT43" s="72">
        <v>111222</v>
      </c>
      <c r="LU43" s="72">
        <v>111223</v>
      </c>
      <c r="LV43" s="72">
        <v>111224</v>
      </c>
      <c r="LW43" s="72">
        <v>111225</v>
      </c>
      <c r="LX43" s="72">
        <v>111226</v>
      </c>
      <c r="LY43" s="72">
        <v>111227</v>
      </c>
      <c r="LZ43" s="72">
        <v>111228</v>
      </c>
      <c r="MA43" s="78">
        <f>IF(AND($N$8=2,$N$20=1),LH43,IF(AND($N$8=2,$N$20=4),LI43,IF(AND($N$8=2,$N$20=5),LJ43,IF(AND($N$8=2,$N$20=11),LK43,IF(AND($N$8=2,$N$20=7),LL43,IF(AND($N$8=2,$N$20=3),LM43,IF(AND($N$8=2,$N$20=6),LN43,IF(AND($N$8=2,$N$20=9),LO43,IF(AND($N$8=2,$N$20=2),LP43,IF(AND($N$8=2,$N$20=8),LQ43,IF(AND($N$8=1,$N$20=1),LR43,IF(AND($N$8=1,$N$20=1),LR43,IF(AND($N$8=1,$N$20=4),LS43,IF(AND($N$8=1,$N$20=5),LT43,IF(AND($N$8=1,$N$20=11),LU43,IF(AND($N$8=1,$N$20=7),LV43,IF(AND($N$8=1,$N$20=3),LW43,IF(AND($N$8=1,$N$20=6),LX43,IF(AND($N$8=1,$N$20=9),LY43,IF(AND($N$8=1,$N$20=2),LZ43,0))))))))))))))))))))</f>
        <v>0</v>
      </c>
      <c r="MB43" s="77">
        <v>111230</v>
      </c>
      <c r="MC43" s="72">
        <v>111231</v>
      </c>
      <c r="MD43" s="72">
        <v>111232</v>
      </c>
      <c r="ME43" s="72">
        <v>111233</v>
      </c>
      <c r="MF43" s="72">
        <v>111234</v>
      </c>
      <c r="MG43" s="72">
        <v>111235</v>
      </c>
      <c r="MH43" s="72">
        <v>111236</v>
      </c>
      <c r="MI43" s="72">
        <v>111237</v>
      </c>
      <c r="MJ43" s="72">
        <v>111238</v>
      </c>
      <c r="ML43" s="72">
        <v>111220</v>
      </c>
      <c r="MM43" s="72">
        <v>111221</v>
      </c>
      <c r="MN43" s="72">
        <v>111222</v>
      </c>
      <c r="MO43" s="72">
        <v>111223</v>
      </c>
      <c r="MP43" s="72">
        <v>111224</v>
      </c>
      <c r="MQ43" s="72">
        <v>111225</v>
      </c>
      <c r="MR43" s="72">
        <v>111226</v>
      </c>
      <c r="MS43" s="72">
        <v>111227</v>
      </c>
      <c r="MT43" s="72">
        <v>111228</v>
      </c>
      <c r="MU43" s="78">
        <f>IF(AND($N$8=2,$N$20=1),MB43,IF(AND($N$8=2,$N$20=4),MC43,IF(AND($N$8=2,$N$20=5),MD43,IF(AND($N$8=2,$N$20=11),ME43,IF(AND($N$8=2,$N$20=7),MF43,IF(AND($N$8=2,$N$20=3),MG43,IF(AND($N$8=2,$N$20=6),MH43,IF(AND($N$8=2,$N$20=9),MI43,IF(AND($N$8=2,$N$20=2),MJ43,IF(AND($N$8=2,$N$20=8),MK43,IF(AND($N$8=1,$N$20=1),ML43,IF(AND($N$8=1,$N$20=1),ML43,IF(AND($N$8=1,$N$20=4),MM43,IF(AND($N$8=1,$N$20=5),MN43,IF(AND($N$8=1,$N$20=11),MO43,IF(AND($N$8=1,$N$20=7),MP43,IF(AND($N$8=1,$N$20=3),MQ43,IF(AND($N$8=1,$N$20=6),MR43,IF(AND($N$8=1,$N$20=9),MS43,IF(AND($N$8=1,$N$20=2),MT43,0))))))))))))))))))))</f>
        <v>0</v>
      </c>
      <c r="MV43" s="77">
        <v>111610</v>
      </c>
      <c r="MW43" s="72">
        <v>111611</v>
      </c>
      <c r="MX43" s="72">
        <v>111612</v>
      </c>
      <c r="MY43" s="72">
        <v>111613</v>
      </c>
      <c r="MZ43" s="72">
        <v>111614</v>
      </c>
      <c r="NA43" s="72">
        <v>111615</v>
      </c>
      <c r="NB43" s="72">
        <v>111616</v>
      </c>
      <c r="NC43" s="72">
        <v>111617</v>
      </c>
      <c r="ND43" s="72">
        <v>111618</v>
      </c>
      <c r="NF43" s="72">
        <v>111600</v>
      </c>
      <c r="NG43" s="72">
        <v>111601</v>
      </c>
      <c r="NH43" s="72">
        <v>111602</v>
      </c>
      <c r="NI43" s="72">
        <v>111603</v>
      </c>
      <c r="NJ43" s="72">
        <v>111604</v>
      </c>
      <c r="NK43" s="72">
        <v>111605</v>
      </c>
      <c r="NL43" s="72">
        <v>111606</v>
      </c>
      <c r="NM43" s="72">
        <v>111607</v>
      </c>
      <c r="NN43" s="72">
        <v>111608</v>
      </c>
      <c r="NO43" s="78">
        <f>IF(AND($N$8=2,$N$20=1),MV43,IF(AND($N$8=2,$N$20=4),MW43,IF(AND($N$8=2,$N$20=5),MX43,IF(AND($N$8=2,$N$20=11),MY43,IF(AND($N$8=2,$N$20=7),MZ43,IF(AND($N$8=2,$N$20=3),NA43,IF(AND($N$8=2,$N$20=6),NB43,IF(AND($N$8=2,$N$20=9),NC43,IF(AND($N$8=2,$N$20=2),ND43,IF(AND($N$8=2,$N$20=8),NE43,IF(AND($N$8=1,$N$20=1),NF43,IF(AND($N$8=1,$N$20=1),NF43,IF(AND($N$8=1,$N$20=4),NG43,IF(AND($N$8=1,$N$20=5),NH43,IF(AND($N$8=1,$N$20=11),NI43,IF(AND($N$8=1,$N$20=7),NJ43,IF(AND($N$8=1,$N$20=3),NK43,IF(AND($N$8=1,$N$20=6),NL43,IF(AND($N$8=1,$N$20=9),NM43,IF(AND($N$8=1,$N$20=2),NN43,0))))))))))))))))))))</f>
        <v>0</v>
      </c>
      <c r="NP43" s="77">
        <v>111250</v>
      </c>
      <c r="NQ43" s="72">
        <v>111251</v>
      </c>
      <c r="NR43" s="72">
        <v>111252</v>
      </c>
      <c r="NS43" s="72">
        <v>111253</v>
      </c>
      <c r="NT43" s="72">
        <v>111254</v>
      </c>
      <c r="NU43" s="72">
        <v>111255</v>
      </c>
      <c r="NV43" s="72">
        <v>111256</v>
      </c>
      <c r="NW43" s="72">
        <v>111257</v>
      </c>
      <c r="NX43" s="72">
        <v>111258</v>
      </c>
      <c r="NZ43" s="72">
        <v>111240</v>
      </c>
      <c r="OA43" s="72">
        <v>111241</v>
      </c>
      <c r="OB43" s="72">
        <v>111242</v>
      </c>
      <c r="OC43" s="72">
        <v>111243</v>
      </c>
      <c r="OD43" s="72">
        <v>111244</v>
      </c>
      <c r="OE43" s="72">
        <v>111245</v>
      </c>
      <c r="OF43" s="72">
        <v>111246</v>
      </c>
      <c r="OG43" s="72">
        <v>111247</v>
      </c>
      <c r="OH43" s="72">
        <v>111248</v>
      </c>
      <c r="OI43" s="78">
        <f>IF(AND($N$8=2,$N$20=1),NP43,IF(AND($N$8=2,$N$20=4),NQ43,IF(AND($N$8=2,$N$20=5),NR43,IF(AND($N$8=2,$N$20=11),NS43,IF(AND($N$8=2,$N$20=7),NT43,IF(AND($N$8=2,$N$20=3),NU43,IF(AND($N$8=2,$N$20=6),NV43,IF(AND($N$8=2,$N$20=9),NW43,IF(AND($N$8=2,$N$20=2),NX43,IF(AND($N$8=2,$N$20=8),NY43,IF(AND($N$8=1,$N$20=1),NZ43,IF(AND($N$8=1,$N$20=1),NZ43,IF(AND($N$8=1,$N$20=4),OA43,IF(AND($N$8=1,$N$20=5),OB43,IF(AND($N$8=1,$N$20=11),OC43,IF(AND($N$8=1,$N$20=7),OD43,IF(AND($N$8=1,$N$20=3),OE43,IF(AND($N$8=1,$N$20=6),OF43,IF(AND($N$8=1,$N$20=9),OG43,IF(AND($N$8=1,$N$20=2),OH43,0))))))))))))))))))))</f>
        <v>0</v>
      </c>
      <c r="OJ43" s="77">
        <v>111250</v>
      </c>
      <c r="OK43" s="72">
        <v>111251</v>
      </c>
      <c r="OL43" s="72">
        <v>111252</v>
      </c>
      <c r="OM43" s="72">
        <v>111253</v>
      </c>
      <c r="ON43" s="72">
        <v>111254</v>
      </c>
      <c r="OO43" s="72">
        <v>111255</v>
      </c>
      <c r="OP43" s="72">
        <v>111256</v>
      </c>
      <c r="OQ43" s="72">
        <v>111257</v>
      </c>
      <c r="OR43" s="72">
        <v>111258</v>
      </c>
      <c r="OT43" s="72">
        <v>111240</v>
      </c>
      <c r="OU43" s="72">
        <v>111241</v>
      </c>
      <c r="OV43" s="72">
        <v>111242</v>
      </c>
      <c r="OW43" s="72">
        <v>111243</v>
      </c>
      <c r="OX43" s="72">
        <v>111244</v>
      </c>
      <c r="OY43" s="72">
        <v>111245</v>
      </c>
      <c r="OZ43" s="72">
        <v>111246</v>
      </c>
      <c r="PA43" s="72">
        <v>111247</v>
      </c>
      <c r="PB43" s="72">
        <v>111248</v>
      </c>
      <c r="PC43" s="78">
        <f>IF(AND($N$8=2,$N$20=1),OJ43,IF(AND($N$8=2,$N$20=4),OK43,IF(AND($N$8=2,$N$20=5),OL43,IF(AND($N$8=2,$N$20=11),OM43,IF(AND($N$8=2,$N$20=7),ON43,IF(AND($N$8=2,$N$20=3),OO43,IF(AND($N$8=2,$N$20=6),OP43,IF(AND($N$8=2,$N$20=9),OQ43,IF(AND($N$8=2,$N$20=2),OR43,IF(AND($N$8=2,$N$20=8),OS43,IF(AND($N$8=1,$N$20=1),OT43,IF(AND($N$8=1,$N$20=1),OT43,IF(AND($N$8=1,$N$20=4),OU43,IF(AND($N$8=1,$N$20=5),OV43,IF(AND($N$8=1,$N$20=11),OW43,IF(AND($N$8=1,$N$20=7),OX43,IF(AND($N$8=1,$N$20=3),OY43,IF(AND($N$8=1,$N$20=6),OZ43,IF(AND($N$8=1,$N$20=9),PA43,IF(AND($N$8=1,$N$20=2),PB43,0))))))))))))))))))))</f>
        <v>0</v>
      </c>
      <c r="PD43" s="77">
        <v>111630</v>
      </c>
      <c r="PE43" s="72">
        <v>111631</v>
      </c>
      <c r="PF43" s="72">
        <v>111632</v>
      </c>
      <c r="PG43" s="72">
        <v>111633</v>
      </c>
      <c r="PH43" s="72">
        <v>111634</v>
      </c>
      <c r="PI43" s="72">
        <v>111635</v>
      </c>
      <c r="PJ43" s="72">
        <v>111636</v>
      </c>
      <c r="PK43" s="72">
        <v>111637</v>
      </c>
      <c r="PL43" s="72">
        <v>111638</v>
      </c>
      <c r="PN43" s="72">
        <v>111620</v>
      </c>
      <c r="PO43" s="72">
        <v>111621</v>
      </c>
      <c r="PP43" s="72">
        <v>111622</v>
      </c>
      <c r="PQ43" s="72">
        <v>111623</v>
      </c>
      <c r="PR43" s="72">
        <v>111624</v>
      </c>
      <c r="PS43" s="72">
        <v>111625</v>
      </c>
      <c r="PT43" s="72">
        <v>111626</v>
      </c>
      <c r="PU43" s="72">
        <v>111627</v>
      </c>
      <c r="PV43" s="72">
        <v>111628</v>
      </c>
      <c r="PW43" s="78">
        <f>IF(AND($N$8=2,$N$20=1),PD43,IF(AND($N$8=2,$N$20=4),PE43,IF(AND($N$8=2,$N$20=5),PF43,IF(AND($N$8=2,$N$20=11),PG43,IF(AND($N$8=2,$N$20=7),PH43,IF(AND($N$8=2,$N$20=3),PI43,IF(AND($N$8=2,$N$20=6),PJ43,IF(AND($N$8=2,$N$20=9),PK43,IF(AND($N$8=2,$N$20=2),PL43,IF(AND($N$8=2,$N$20=8),PM43,IF(AND($N$8=1,$N$20=1),PN43,IF(AND($N$8=1,$N$20=1),PN43,IF(AND($N$8=1,$N$20=4),PO43,IF(AND($N$8=1,$N$20=5),PP43,IF(AND($N$8=1,$N$20=11),PQ43,IF(AND($N$8=1,$N$20=7),PR43,IF(AND($N$8=1,$N$20=3),PS43,IF(AND($N$8=1,$N$20=6),PT43,IF(AND($N$8=1,$N$20=9),PU43,IF(AND($N$8=1,$N$20=2),PV43,0))))))))))))))))))))</f>
        <v>0</v>
      </c>
    </row>
    <row r="44" spans="1:439" ht="32.1" customHeight="1">
      <c r="A44" s="164"/>
      <c r="B44" s="137" t="str">
        <f>VLOOKUP("Stk",Sprachindex!A:Z,Info!$O$6,FALSE)</f>
        <v>STK</v>
      </c>
      <c r="C44" s="135"/>
      <c r="D44" s="136">
        <f>IF(OR(J44=Formeln!A49,J44=Formeln!A50,J44=Formeln!A51,J44=Formeln!A81,J44=Formeln!A82,J44=Formeln!A83),AM44,IF(OR(J44=Formeln!A52,J44=Formeln!A53,J44=Formeln!A54,J44=Formeln!A84,J44=Formeln!A85,J44=Formeln!A86),BG44,IF(OR(J44=Formeln!A55,J44=Formeln!A56,J44=Formeln!A57,J44=Formeln!A58,J44=Formeln!A59,J44=Formeln!A87,J44=Formeln!A88,J44=Formeln!A89,J44=Formeln!A90,J44=Formeln!A91),CA44,IF(OR(J44=Formeln!A60,J44=Formeln!A61,J44=Formeln!A62,J44=Formeln!A92,J44=Formeln!A93,J44=Formeln!A94),CU44,IF(OR(J44=Formeln!A63,J44=Formeln!A64,J44=Formeln!A95,J44=Formeln!A96),DO44,IF(OR(J44=Formeln!A65,J44=Formeln!A66,J44=Formeln!A67,J44=Formeln!A68,J44=Formeln!A69,J44=Formeln!A97,J44=Formeln!A98,J44=Formeln!A99,J44=Formeln!A100,J44=Formeln!A101),EI44,IF(OR(J44=Formeln!A70,J44=Formeln!A71,J44=Formeln!A72,J44=Formeln!A102,J44=Formeln!A103,J44=Formeln!A104),FC44,0)))))))</f>
        <v>0</v>
      </c>
      <c r="E44" s="264" t="str">
        <f>VLOOKUP("PREFA Einfassung für Roto-Dachflächenfenster stucco",Sprachindex!A:Z,Info!$O$6,FALSE)</f>
        <v>PREFA Einfassung für Roto-Dachflächenfenster stucco</v>
      </c>
      <c r="F44" s="265"/>
      <c r="G44" s="265"/>
      <c r="H44" s="265"/>
      <c r="I44" s="145" t="str">
        <f>VLOOKUP("Maße:",Sprachindex!A:Z,Info!$O$6,FALSE)</f>
        <v>Maße:</v>
      </c>
      <c r="J44" s="269"/>
      <c r="K44" s="270"/>
      <c r="L44" s="137" t="str">
        <f t="shared" si="0"/>
        <v/>
      </c>
      <c r="M44" s="138"/>
      <c r="O44" s="1"/>
      <c r="P44" s="11"/>
      <c r="Q44" s="11" t="str">
        <f>ROUNDUP(A44/1,0)*1 &amp;" " &amp; VLOOKUP("Stk",Sprachindex!A:Z,Info!$O$6,FALSE)</f>
        <v>0 STK</v>
      </c>
      <c r="T44" s="72">
        <v>111300</v>
      </c>
      <c r="U44" s="72">
        <v>111301</v>
      </c>
      <c r="V44" s="72">
        <v>111302</v>
      </c>
      <c r="W44" s="72">
        <v>111303</v>
      </c>
      <c r="X44" s="72">
        <v>111304</v>
      </c>
      <c r="Y44" s="72">
        <v>111305</v>
      </c>
      <c r="Z44" s="72">
        <v>111306</v>
      </c>
      <c r="AA44" s="72">
        <v>111307</v>
      </c>
      <c r="AB44" s="72">
        <v>111308</v>
      </c>
      <c r="AD44" s="72">
        <v>111310</v>
      </c>
      <c r="AE44" s="72">
        <v>111311</v>
      </c>
      <c r="AF44" s="72">
        <v>111312</v>
      </c>
      <c r="AG44" s="72">
        <v>111313</v>
      </c>
      <c r="AH44" s="72">
        <v>111314</v>
      </c>
      <c r="AI44" s="72">
        <v>111315</v>
      </c>
      <c r="AJ44" s="72">
        <v>111316</v>
      </c>
      <c r="AK44" s="72">
        <v>111317</v>
      </c>
      <c r="AL44" s="72">
        <v>111318</v>
      </c>
      <c r="AM44" s="78">
        <f>IF(AND($N$8=2,$N$20=1),T44,IF(AND($N$8=2,$N$20=4),U44,IF(AND($N$8=2,$N$20=5),V44,IF(AND($N$8=2,$N$20=11),W44,IF(AND($N$8=2,$N$20=7),X44,IF(AND($N$8=2,$N$20=3),Y44,IF(AND($N$8=2,$N$20=6),Z44,IF(AND($N$8=2,$N$20=9),AA44,IF(AND($N$8=2,$N$20=2),AB44,IF(AND($N$8=2,$N$20=8),AC44,IF(AND($N$8=1,$N$20=1),AD44,IF(AND($N$8=1,$N$20=1),AD44,IF(AND($N$8=1,$N$20=4),AE44,IF(AND($N$8=1,$N$20=5),AF44,IF(AND($N$8=1,$N$20=11),AG44,IF(AND($N$8=1,$N$20=7),AH44,IF(AND($N$8=1,$N$20=3),AI44,IF(AND($N$8=1,$N$20=6),AJ44,IF(AND($N$8=1,$N$20=9),AK44,IF(AND($N$8=1,$N$20=2),AL44,0))))))))))))))))))))</f>
        <v>0</v>
      </c>
      <c r="AN44" s="72">
        <v>111320</v>
      </c>
      <c r="AO44" s="72">
        <v>111321</v>
      </c>
      <c r="AP44" s="72">
        <v>111322</v>
      </c>
      <c r="AQ44" s="72">
        <v>111323</v>
      </c>
      <c r="AR44" s="72">
        <v>111324</v>
      </c>
      <c r="AS44" s="72">
        <v>111325</v>
      </c>
      <c r="AT44" s="72">
        <v>111326</v>
      </c>
      <c r="AU44" s="72">
        <v>111327</v>
      </c>
      <c r="AV44" s="72">
        <v>111328</v>
      </c>
      <c r="AX44" s="72">
        <v>111330</v>
      </c>
      <c r="AY44" s="72">
        <v>111331</v>
      </c>
      <c r="AZ44" s="72">
        <v>111332</v>
      </c>
      <c r="BA44" s="72">
        <v>111333</v>
      </c>
      <c r="BB44" s="72">
        <v>111334</v>
      </c>
      <c r="BC44" s="72">
        <v>111335</v>
      </c>
      <c r="BD44" s="72">
        <v>111336</v>
      </c>
      <c r="BE44" s="72">
        <v>111337</v>
      </c>
      <c r="BF44" s="72">
        <v>111338</v>
      </c>
      <c r="BG44" s="78">
        <f>IF(AND($N$8=2,$N$20=1),AN44,IF(AND($N$8=2,$N$20=4),AO44,IF(AND($N$8=2,$N$20=5),AP44,IF(AND($N$8=2,$N$20=11),AQ44,IF(AND($N$8=2,$N$20=7),AR44,IF(AND($N$8=2,$N$20=3),AS44,IF(AND($N$8=2,$N$20=6),AT44,IF(AND($N$8=2,$N$20=9),AU44,IF(AND($N$8=2,$N$20=2),AV44,IF(AND($N$8=2,$N$20=8),AW44,IF(AND($N$8=1,$N$20=1),AX44,IF(AND($N$8=1,$N$20=1),AX44,IF(AND($N$8=1,$N$20=4),AY44,IF(AND($N$8=1,$N$20=5),AZ44,IF(AND($N$8=1,$N$20=11),BA44,IF(AND($N$8=1,$N$20=7),BB44,IF(AND($N$8=1,$N$20=3),BC44,IF(AND($N$8=1,$N$20=6),BD44,IF(AND($N$8=1,$N$20=9),BE44,IF(AND($N$8=1,$N$20=2),BF44,0))))))))))))))))))))</f>
        <v>0</v>
      </c>
      <c r="BH44" s="72">
        <v>111360</v>
      </c>
      <c r="BI44" s="72">
        <v>111361</v>
      </c>
      <c r="BJ44" s="72">
        <v>111362</v>
      </c>
      <c r="BK44" s="72">
        <v>111363</v>
      </c>
      <c r="BL44" s="72">
        <v>111364</v>
      </c>
      <c r="BM44" s="72">
        <v>111365</v>
      </c>
      <c r="BN44" s="72">
        <v>111366</v>
      </c>
      <c r="BO44" s="72">
        <v>111367</v>
      </c>
      <c r="BP44" s="72">
        <v>111368</v>
      </c>
      <c r="BR44" s="72">
        <v>111370</v>
      </c>
      <c r="BS44" s="72">
        <v>111371</v>
      </c>
      <c r="BT44" s="72">
        <v>111372</v>
      </c>
      <c r="BU44" s="72">
        <v>111373</v>
      </c>
      <c r="BV44" s="72">
        <v>111374</v>
      </c>
      <c r="BW44" s="72">
        <v>111375</v>
      </c>
      <c r="BX44" s="72">
        <v>111376</v>
      </c>
      <c r="BY44" s="72">
        <v>111377</v>
      </c>
      <c r="BZ44" s="72">
        <v>111378</v>
      </c>
      <c r="CA44" s="78">
        <f>IF(AND($N$8=2,$N$20=1),BH44,IF(AND($N$8=2,$N$20=4),BI44,IF(AND($N$8=2,$N$20=5),BJ44,IF(AND($N$8=2,$N$20=11),BK44,IF(AND($N$8=2,$N$20=7),BL44,IF(AND($N$8=2,$N$20=3),BM44,IF(AND($N$8=2,$N$20=6),BN44,IF(AND($N$8=2,$N$20=9),BO44,IF(AND($N$8=2,$N$20=2),BP44,IF(AND($N$8=2,$N$20=8),BQ44,IF(AND($N$8=1,$N$20=1),BR44,IF(AND($N$8=1,$N$20=1),BR44,IF(AND($N$8=1,$N$20=4),BS44,IF(AND($N$8=1,$N$20=5),BT44,IF(AND($N$8=1,$N$20=11),BU44,IF(AND($N$8=1,$N$20=7),BV44,IF(AND($N$8=1,$N$20=3),BW44,IF(AND($N$8=1,$N$20=6),BX44,IF(AND($N$8=1,$N$20=9),BY44,IF(AND($N$8=1,$N$20=2),BZ44,0))))))))))))))))))))</f>
        <v>0</v>
      </c>
      <c r="CB44" s="72">
        <v>111380</v>
      </c>
      <c r="CC44" s="72">
        <v>111381</v>
      </c>
      <c r="CD44" s="72">
        <v>111382</v>
      </c>
      <c r="CE44" s="72">
        <v>111383</v>
      </c>
      <c r="CF44" s="72">
        <v>111384</v>
      </c>
      <c r="CG44" s="72">
        <v>111385</v>
      </c>
      <c r="CH44" s="72">
        <v>111386</v>
      </c>
      <c r="CI44" s="72">
        <v>111387</v>
      </c>
      <c r="CJ44" s="72">
        <v>111388</v>
      </c>
      <c r="CL44" s="72">
        <v>111390</v>
      </c>
      <c r="CM44" s="72">
        <v>111391</v>
      </c>
      <c r="CN44" s="72">
        <v>111392</v>
      </c>
      <c r="CO44" s="72">
        <v>111393</v>
      </c>
      <c r="CP44" s="72">
        <v>111394</v>
      </c>
      <c r="CQ44" s="72">
        <v>111395</v>
      </c>
      <c r="CR44" s="72">
        <v>111396</v>
      </c>
      <c r="CS44" s="72">
        <v>111397</v>
      </c>
      <c r="CT44" s="72">
        <v>111398</v>
      </c>
      <c r="CU44" s="78">
        <f>IF(AND($N$8=2,$N$20=1),CB44,IF(AND($N$8=2,$N$20=4),CC44,IF(AND($N$8=2,$N$20=5),CD44,IF(AND($N$8=2,$N$20=11),CE44,IF(AND($N$8=2,$N$20=7),CF44,IF(AND($N$8=2,$N$20=3),CG44,IF(AND($N$8=2,$N$20=6),CH44,IF(AND($N$8=2,$N$20=9),CI44,IF(AND($N$8=2,$N$20=2),CJ44,IF(AND($N$8=2,$N$20=8),CK44,IF(AND($N$8=1,$N$20=1),CL44,IF(AND($N$8=1,$N$20=1),CL44,IF(AND($N$8=1,$N$20=4),CM44,IF(AND($N$8=1,$N$20=5),CN44,IF(AND($N$8=1,$N$20=11),CO44,IF(AND($N$8=1,$N$20=7),CP44,IF(AND($N$8=1,$N$20=3),CQ44,IF(AND($N$8=1,$N$20=6),CR44,IF(AND($N$8=1,$N$20=9),CS44,IF(AND($N$8=1,$N$20=2),CT44,0))))))))))))))))))))</f>
        <v>0</v>
      </c>
      <c r="CV44" s="72">
        <v>111400</v>
      </c>
      <c r="CW44" s="72">
        <v>111401</v>
      </c>
      <c r="CX44" s="72">
        <v>111402</v>
      </c>
      <c r="CY44" s="72">
        <v>111403</v>
      </c>
      <c r="CZ44" s="72">
        <v>111404</v>
      </c>
      <c r="DA44" s="72">
        <v>111405</v>
      </c>
      <c r="DB44" s="72">
        <v>111406</v>
      </c>
      <c r="DC44" s="72">
        <v>111407</v>
      </c>
      <c r="DD44" s="72">
        <v>111408</v>
      </c>
      <c r="DF44" s="72">
        <v>111410</v>
      </c>
      <c r="DG44" s="72">
        <v>111411</v>
      </c>
      <c r="DH44" s="72">
        <v>111412</v>
      </c>
      <c r="DI44" s="72">
        <v>111413</v>
      </c>
      <c r="DJ44" s="72">
        <v>111414</v>
      </c>
      <c r="DK44" s="72">
        <v>111415</v>
      </c>
      <c r="DL44" s="72">
        <v>111416</v>
      </c>
      <c r="DM44" s="72">
        <v>111417</v>
      </c>
      <c r="DN44" s="72">
        <v>111418</v>
      </c>
      <c r="DO44" s="78">
        <f>IF(AND($N$8=2,$N$20=1),CV44,IF(AND($N$8=2,$N$20=4),CW44,IF(AND($N$8=2,$N$20=5),CX44,IF(AND($N$8=2,$N$20=11),CY44,IF(AND($N$8=2,$N$20=7),CZ44,IF(AND($N$8=2,$N$20=3),DA44,IF(AND($N$8=2,$N$20=6),DB44,IF(AND($N$8=2,$N$20=9),DC44,IF(AND($N$8=2,$N$20=2),DD44,IF(AND($N$8=2,$N$20=8),DE44,IF(AND($N$8=1,$N$20=1),DF44,IF(AND($N$8=1,$N$20=1),DF44,IF(AND($N$8=1,$N$20=4),DG44,IF(AND($N$8=1,$N$20=5),DH44,IF(AND($N$8=1,$N$20=11),DI44,IF(AND($N$8=1,$N$20=7),DJ44,IF(AND($N$8=1,$N$20=3),DK44,IF(AND($N$8=1,$N$20=6),DL44,IF(AND($N$8=1,$N$20=9),DM44,IF(AND($N$8=1,$N$20=2),DN44,0))))))))))))))))))))</f>
        <v>0</v>
      </c>
      <c r="DP44" s="72">
        <v>111420</v>
      </c>
      <c r="DQ44" s="72">
        <v>111421</v>
      </c>
      <c r="DR44" s="72">
        <v>111422</v>
      </c>
      <c r="DS44" s="72">
        <v>111423</v>
      </c>
      <c r="DT44" s="72">
        <v>111424</v>
      </c>
      <c r="DU44" s="72">
        <v>111425</v>
      </c>
      <c r="DV44" s="72">
        <v>111426</v>
      </c>
      <c r="DW44" s="72">
        <v>111427</v>
      </c>
      <c r="DX44" s="72">
        <v>111428</v>
      </c>
      <c r="DZ44" s="72">
        <v>111430</v>
      </c>
      <c r="EA44" s="72">
        <v>111431</v>
      </c>
      <c r="EB44" s="72">
        <v>111432</v>
      </c>
      <c r="EC44" s="72">
        <v>111433</v>
      </c>
      <c r="ED44" s="72">
        <v>111434</v>
      </c>
      <c r="EE44" s="72">
        <v>111435</v>
      </c>
      <c r="EF44" s="72">
        <v>111436</v>
      </c>
      <c r="EG44" s="72">
        <v>111437</v>
      </c>
      <c r="EH44" s="72">
        <v>111438</v>
      </c>
      <c r="EI44" s="78">
        <f>IF(AND($N$8=2,$N$20=1),DP44,IF(AND($N$8=2,$N$20=4),DQ44,IF(AND($N$8=2,$N$20=5),DR44,IF(AND($N$8=2,$N$20=11),DS44,IF(AND($N$8=2,$N$20=7),DT44,IF(AND($N$8=2,$N$20=3),DU44,IF(AND($N$8=2,$N$20=6),DV44,IF(AND($N$8=2,$N$20=9),DW44,IF(AND($N$8=2,$N$20=2),DX44,IF(AND($N$8=2,$N$20=8),DY44,IF(AND($N$8=1,$N$20=1),DZ44,IF(AND($N$8=1,$N$20=1),DZ44,IF(AND($N$8=1,$N$20=4),EA44,IF(AND($N$8=1,$N$20=5),EB44,IF(AND($N$8=1,$N$20=11),EC44,IF(AND($N$8=1,$N$20=7),ED44,IF(AND($N$8=1,$N$20=3),EE44,IF(AND($N$8=1,$N$20=6),EF44,IF(AND($N$8=1,$N$20=9),EG44,IF(AND($N$8=1,$N$20=2),EH44,0))))))))))))))))))))</f>
        <v>0</v>
      </c>
      <c r="EJ44" s="72">
        <v>111440</v>
      </c>
      <c r="EK44" s="72">
        <v>111441</v>
      </c>
      <c r="EL44" s="72">
        <v>111442</v>
      </c>
      <c r="EM44" s="72">
        <v>111443</v>
      </c>
      <c r="EN44" s="72">
        <v>111444</v>
      </c>
      <c r="EO44" s="72">
        <v>111445</v>
      </c>
      <c r="EP44" s="72">
        <v>111446</v>
      </c>
      <c r="EQ44" s="72">
        <v>111447</v>
      </c>
      <c r="ER44" s="72">
        <v>111448</v>
      </c>
      <c r="ET44" s="72">
        <v>111450</v>
      </c>
      <c r="EU44" s="72">
        <v>111451</v>
      </c>
      <c r="EV44" s="72">
        <v>111452</v>
      </c>
      <c r="EW44" s="72">
        <v>111453</v>
      </c>
      <c r="EX44" s="72">
        <v>111454</v>
      </c>
      <c r="EY44" s="72">
        <v>111455</v>
      </c>
      <c r="EZ44" s="72">
        <v>111456</v>
      </c>
      <c r="FA44" s="72">
        <v>111457</v>
      </c>
      <c r="FB44" s="72">
        <v>111458</v>
      </c>
      <c r="FC44" s="78">
        <f>IF(AND($N$8=2,$N$20=1),EJ44,IF(AND($N$8=2,$N$20=4),EK44,IF(AND($N$8=2,$N$20=5),EL44,IF(AND($N$8=2,$N$20=11),EM44,IF(AND($N$8=2,$N$20=7),EN44,IF(AND($N$8=2,$N$20=3),EO44,IF(AND($N$8=2,$N$20=6),EP44,IF(AND($N$8=2,$N$20=9),EQ44,IF(AND($N$8=2,$N$20=2),ER44,IF(AND($N$8=2,$N$20=8),ES44,IF(AND($N$8=1,$N$20=1),ET44,IF(AND($N$8=1,$N$20=1),ET44,IF(AND($N$8=1,$N$20=4),EU44,IF(AND($N$8=1,$N$20=5),EV44,IF(AND($N$8=1,$N$20=11),EW44,IF(AND($N$8=1,$N$20=7),EX44,IF(AND($N$8=1,$N$20=3),EY44,IF(AND($N$8=1,$N$20=6),EZ44,IF(AND($N$8=1,$N$20=9),FA44,IF(AND($N$8=1,$N$20=2),FB44,0))))))))))))))))))))</f>
        <v>0</v>
      </c>
      <c r="FW44" s="78"/>
      <c r="GQ44" s="78"/>
      <c r="HK44" s="78"/>
      <c r="IE44" s="78"/>
      <c r="IY44" s="78"/>
      <c r="JS44" s="78"/>
      <c r="KM44" s="78"/>
      <c r="LG44" s="78"/>
      <c r="MA44" s="78"/>
      <c r="MU44" s="78"/>
      <c r="NO44" s="78"/>
      <c r="OI44" s="78"/>
      <c r="PC44" s="78"/>
      <c r="PW44" s="78"/>
    </row>
    <row r="45" spans="1:439" ht="32.1" customHeight="1">
      <c r="A45" s="164"/>
      <c r="B45" s="137" t="str">
        <f>VLOOKUP("Stk",Sprachindex!A:Z,Info!$O$6,FALSE)</f>
        <v>STK</v>
      </c>
      <c r="C45" s="135"/>
      <c r="D45" s="136">
        <f t="shared" ref="D45:D50" si="2">IF($N$20=1,T45,IF($N$20=4,U45,IF($N$20=5,V45,IF($N$20=11,W45,IF($N$20=7,X45,IF($N$20=3,Y45,IF($N$20=6,Z45,IF($N$20=9,AA45,IF($N$20=2,AB45,IF($N$20=8,AC45,0))))))))))</f>
        <v>0</v>
      </c>
      <c r="E45" s="264" t="str">
        <f>VLOOKUP("PREFA Einzeltritt inkl. zwei Fußteilen",Sprachindex!A:Z,Info!$O$6,FALSE)</f>
        <v>PREFA Einzeltritt inkl. zwei Fußteilen</v>
      </c>
      <c r="F45" s="265"/>
      <c r="G45" s="265"/>
      <c r="H45" s="265"/>
      <c r="I45" s="265"/>
      <c r="J45" s="265"/>
      <c r="K45" s="266"/>
      <c r="L45" s="137" t="str">
        <f t="shared" si="0"/>
        <v/>
      </c>
      <c r="M45" s="138"/>
      <c r="O45" s="1"/>
      <c r="P45" s="11"/>
      <c r="Q45" s="11" t="str">
        <f>ROUNDUP(A45/1,0)*1 &amp;" " &amp; VLOOKUP("Stk",Sprachindex!A:Z,Info!$O$6,FALSE)</f>
        <v>0 STK</v>
      </c>
      <c r="T45" s="72">
        <v>120070</v>
      </c>
      <c r="U45" s="72">
        <v>120071</v>
      </c>
      <c r="V45" s="72">
        <v>120072</v>
      </c>
      <c r="W45" s="72">
        <v>120073</v>
      </c>
      <c r="X45" s="72">
        <v>120074</v>
      </c>
      <c r="Y45" s="72">
        <v>120075</v>
      </c>
      <c r="Z45" s="72">
        <v>120076</v>
      </c>
      <c r="AA45" s="72">
        <v>120077</v>
      </c>
      <c r="AB45" s="72">
        <v>120078</v>
      </c>
      <c r="AC45" s="72">
        <v>649020</v>
      </c>
    </row>
    <row r="46" spans="1:439" ht="32.1" customHeight="1">
      <c r="A46" s="164"/>
      <c r="B46" s="137" t="str">
        <f>VLOOKUP("Stk",Sprachindex!A:Z,Info!$O$6,FALSE)</f>
        <v>STK</v>
      </c>
      <c r="C46" s="135"/>
      <c r="D46" s="136">
        <f t="shared" si="2"/>
        <v>0</v>
      </c>
      <c r="E46" s="264" t="str">
        <f>VLOOKUP("PREFA Laufstegstütze verzinkt für Laufstege",Sprachindex!A:Z,Info!$O$6,FALSE)</f>
        <v>PREFA Laufstegstütze verzinkt für Laufstege</v>
      </c>
      <c r="F46" s="265"/>
      <c r="G46" s="265"/>
      <c r="H46" s="265"/>
      <c r="I46" s="265"/>
      <c r="J46" s="265"/>
      <c r="K46" s="266"/>
      <c r="L46" s="137" t="str">
        <f t="shared" si="0"/>
        <v/>
      </c>
      <c r="M46" s="138"/>
      <c r="O46" s="1"/>
      <c r="P46" s="11"/>
      <c r="Q46" s="11" t="str">
        <f>ROUNDUP(A46/1,0)*1 &amp;" " &amp; VLOOKUP("Stk",Sprachindex!A:Z,Info!$O$6,FALSE)</f>
        <v>0 STK</v>
      </c>
      <c r="T46" s="72">
        <v>120040</v>
      </c>
      <c r="U46" s="72">
        <v>120041</v>
      </c>
      <c r="V46" s="72">
        <v>120042</v>
      </c>
      <c r="W46" s="72">
        <v>120043</v>
      </c>
      <c r="X46" s="72">
        <v>120044</v>
      </c>
      <c r="Y46" s="72">
        <v>120045</v>
      </c>
      <c r="Z46" s="72">
        <v>120046</v>
      </c>
      <c r="AA46" s="72">
        <v>120047</v>
      </c>
      <c r="AB46" s="72">
        <v>120048</v>
      </c>
      <c r="AC46" s="72">
        <v>649220</v>
      </c>
    </row>
    <row r="47" spans="1:439" ht="32.1" customHeight="1">
      <c r="A47" s="164"/>
      <c r="B47" s="137" t="str">
        <f>VLOOKUP("Stk",Sprachindex!A:Z,Info!$O$6,FALSE)</f>
        <v>STK</v>
      </c>
      <c r="C47" s="135"/>
      <c r="D47" s="136">
        <f t="shared" si="2"/>
        <v>0</v>
      </c>
      <c r="E47" s="264" t="str">
        <f>VLOOKUP("PREFA Laufsteg (250 x 1.200 mm)",Sprachindex!A:Z,Info!$O$6,FALSE)</f>
        <v>PREFA Laufsteg (250 x 1.200 mm)</v>
      </c>
      <c r="F47" s="265"/>
      <c r="G47" s="265"/>
      <c r="H47" s="265"/>
      <c r="I47" s="265"/>
      <c r="J47" s="265"/>
      <c r="K47" s="266"/>
      <c r="L47" s="137" t="str">
        <f t="shared" si="0"/>
        <v/>
      </c>
      <c r="M47" s="138"/>
      <c r="O47" s="1"/>
      <c r="P47" s="11"/>
      <c r="Q47" s="11" t="str">
        <f>ROUNDUP(A47/1,0)*1 &amp;" " &amp; VLOOKUP("Stk",Sprachindex!A:Z,Info!$O$6,FALSE)</f>
        <v>0 STK</v>
      </c>
      <c r="T47" s="72">
        <v>120030</v>
      </c>
      <c r="U47" s="72">
        <v>120031</v>
      </c>
      <c r="V47" s="72">
        <v>120032</v>
      </c>
      <c r="W47" s="72">
        <v>120033</v>
      </c>
      <c r="X47" s="72">
        <v>120034</v>
      </c>
      <c r="Y47" s="72">
        <v>120035</v>
      </c>
      <c r="Z47" s="72">
        <v>120036</v>
      </c>
      <c r="AA47" s="72">
        <v>120037</v>
      </c>
      <c r="AB47" s="72">
        <v>120038</v>
      </c>
      <c r="AC47" s="72">
        <v>649221</v>
      </c>
    </row>
    <row r="48" spans="1:439" ht="32.1" customHeight="1">
      <c r="A48" s="164"/>
      <c r="B48" s="137" t="str">
        <f>VLOOKUP("Stk",Sprachindex!A:Z,Info!$O$6,FALSE)</f>
        <v>STK</v>
      </c>
      <c r="C48" s="135"/>
      <c r="D48" s="136">
        <f t="shared" si="2"/>
        <v>0</v>
      </c>
      <c r="E48" s="264" t="str">
        <f>VLOOKUP("PREFA Laufsteg (250 x 800 mm)",Sprachindex!A:Z,Info!$O$6,FALSE)</f>
        <v>PREFA Laufsteg (250 x 800 mm)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38"/>
      <c r="O48" s="1"/>
      <c r="P48" s="11"/>
      <c r="Q48" s="11" t="str">
        <f>ROUNDUP(A48/1,0)*1 &amp;" " &amp; VLOOKUP("Stk",Sprachindex!A:Z,Info!$O$6,FALSE)</f>
        <v>0 STK</v>
      </c>
      <c r="T48" s="72">
        <v>120020</v>
      </c>
      <c r="U48" s="72">
        <v>120021</v>
      </c>
      <c r="V48" s="72">
        <v>120022</v>
      </c>
      <c r="W48" s="72">
        <v>120023</v>
      </c>
      <c r="X48" s="72">
        <v>120024</v>
      </c>
      <c r="Y48" s="72">
        <v>120025</v>
      </c>
      <c r="Z48" s="72">
        <v>120026</v>
      </c>
      <c r="AA48" s="72">
        <v>120027</v>
      </c>
      <c r="AB48" s="72">
        <v>120028</v>
      </c>
      <c r="AC48" s="72">
        <v>649050</v>
      </c>
    </row>
    <row r="49" spans="1:39" ht="32.1" customHeight="1">
      <c r="A49" s="164"/>
      <c r="B49" s="137" t="str">
        <f>VLOOKUP("Stk",Sprachindex!A:Z,Info!$O$6,FALSE)</f>
        <v>STK</v>
      </c>
      <c r="C49" s="135"/>
      <c r="D49" s="136">
        <f t="shared" si="2"/>
        <v>0</v>
      </c>
      <c r="E49" s="264" t="str">
        <f>VLOOKUP("PREFA Laufsteg (250 x 600 mm)",Sprachindex!A:Z,Info!$O$6,FALSE)</f>
        <v>PREFA Laufsteg (250 x 600 mm)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38"/>
      <c r="O49" s="1"/>
      <c r="P49" s="11"/>
      <c r="Q49" s="11" t="str">
        <f>ROUNDUP(A49/1,0)*1 &amp;" " &amp; VLOOKUP("Stk",Sprachindex!A:Z,Info!$O$6,FALSE)</f>
        <v>0 STK</v>
      </c>
      <c r="T49" s="72">
        <v>120060</v>
      </c>
      <c r="U49" s="72">
        <v>120061</v>
      </c>
      <c r="V49" s="72">
        <v>120062</v>
      </c>
      <c r="W49" s="72">
        <v>120063</v>
      </c>
      <c r="X49" s="72">
        <v>120064</v>
      </c>
      <c r="Y49" s="72">
        <v>120065</v>
      </c>
      <c r="Z49" s="72">
        <v>120066</v>
      </c>
      <c r="AA49" s="72">
        <v>120067</v>
      </c>
      <c r="AB49" s="72">
        <v>120068</v>
      </c>
      <c r="AC49" s="72">
        <v>649070</v>
      </c>
    </row>
    <row r="50" spans="1:39" ht="32.1" customHeight="1">
      <c r="A50" s="164"/>
      <c r="B50" s="137" t="str">
        <f>VLOOKUP("Stk",Sprachindex!A:Z,Info!$O$6,FALSE)</f>
        <v>STK</v>
      </c>
      <c r="C50" s="135"/>
      <c r="D50" s="136">
        <f t="shared" si="2"/>
        <v>0</v>
      </c>
      <c r="E50" s="264" t="str">
        <f>VLOOKUP("PREFA Laufsteg (250 x 420 mm)",Sprachindex!A:Z,Info!$O$6,FALSE)</f>
        <v>PREFA Laufsteg (250 x 420 mm)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38"/>
      <c r="O50" s="1"/>
      <c r="P50" s="11"/>
      <c r="Q50" s="11" t="str">
        <f>ROUNDUP(A50/1,0)*1 &amp;" " &amp; VLOOKUP("Stk",Sprachindex!A:Z,Info!$O$6,FALSE)</f>
        <v>0 STK</v>
      </c>
      <c r="T50" s="72">
        <v>120010</v>
      </c>
      <c r="U50" s="72">
        <v>120011</v>
      </c>
      <c r="V50" s="72">
        <v>120012</v>
      </c>
      <c r="W50" s="72">
        <v>120013</v>
      </c>
      <c r="X50" s="72">
        <v>120014</v>
      </c>
      <c r="Y50" s="72">
        <v>120015</v>
      </c>
      <c r="Z50" s="72">
        <v>120016</v>
      </c>
      <c r="AA50" s="72">
        <v>120017</v>
      </c>
      <c r="AB50" s="72">
        <v>120018</v>
      </c>
      <c r="AC50" s="72">
        <v>649030</v>
      </c>
    </row>
    <row r="51" spans="1:39" ht="32.1" customHeight="1">
      <c r="A51" s="164"/>
      <c r="B51" s="137" t="str">
        <f>VLOOKUP("Stk",Sprachindex!A:Z,Info!$O$6,FALSE)</f>
        <v>STK</v>
      </c>
      <c r="C51" s="135"/>
      <c r="D51" s="142">
        <v>649001</v>
      </c>
      <c r="E51" s="264" t="str">
        <f>VLOOKUP("PREFA Verbinder verzinkt für Laufsteg",Sprachindex!A:Z,Info!$O$6,FALSE)</f>
        <v>PREFA Verbinder verzinkt für Laufsteg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38"/>
      <c r="O51" s="1"/>
      <c r="P51" s="11"/>
      <c r="Q51" s="11" t="str">
        <f>ROUNDUP(A51/1,0)*1 &amp;" " &amp; VLOOKUP("Stk",Sprachindex!A:Z,Info!$O$6,FALSE)</f>
        <v>0 STK</v>
      </c>
      <c r="T51" s="75" t="s">
        <v>1554</v>
      </c>
      <c r="U51" s="75" t="s">
        <v>1555</v>
      </c>
      <c r="V51" s="75" t="s">
        <v>1556</v>
      </c>
      <c r="W51" s="75" t="s">
        <v>1557</v>
      </c>
      <c r="X51" s="75" t="s">
        <v>1558</v>
      </c>
      <c r="Y51" s="75" t="s">
        <v>1559</v>
      </c>
      <c r="Z51" s="75" t="s">
        <v>1560</v>
      </c>
      <c r="AA51" s="75" t="s">
        <v>1561</v>
      </c>
      <c r="AB51" s="75" t="s">
        <v>1562</v>
      </c>
      <c r="AC51" s="75" t="s">
        <v>1563</v>
      </c>
      <c r="AD51" s="75" t="s">
        <v>1554</v>
      </c>
      <c r="AE51" s="75" t="s">
        <v>1555</v>
      </c>
      <c r="AF51" s="75" t="s">
        <v>1556</v>
      </c>
      <c r="AG51" s="75" t="s">
        <v>1557</v>
      </c>
      <c r="AH51" s="75" t="s">
        <v>1558</v>
      </c>
      <c r="AI51" s="75" t="s">
        <v>1559</v>
      </c>
      <c r="AJ51" s="75" t="s">
        <v>1560</v>
      </c>
      <c r="AK51" s="75" t="s">
        <v>1561</v>
      </c>
      <c r="AL51" s="75" t="s">
        <v>1562</v>
      </c>
      <c r="AM51" s="75" t="s">
        <v>1563</v>
      </c>
    </row>
    <row r="52" spans="1:39" ht="32.1" customHeight="1">
      <c r="A52" s="164"/>
      <c r="B52" s="137" t="str">
        <f>VLOOKUP("Stk",Sprachindex!A:Z,Info!$O$6,FALSE)</f>
        <v>STK</v>
      </c>
      <c r="C52" s="146"/>
      <c r="D52" s="142">
        <v>635661</v>
      </c>
      <c r="E52" s="264" t="str">
        <f>VLOOKUP("PREFA Dach-Sicherheitshaken nach EN 517B auf Fussteilen",Sprachindex!A:Z,Info!$O$6,FALSE)</f>
        <v>PREFA Dach-Sicherheitshaken nach EN 517B auf Fussteilen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47"/>
      <c r="O52" s="1"/>
      <c r="P52" s="11"/>
      <c r="Q52" s="11" t="str">
        <f>ROUNDUP(A52/1,0)*1 &amp;" " &amp; VLOOKUP("Stk",Sprachindex!A:Z,Info!$O$6,FALSE)</f>
        <v>0 STK</v>
      </c>
    </row>
    <row r="53" spans="1:39" ht="32.1" customHeight="1">
      <c r="A53" s="164"/>
      <c r="B53" s="137" t="str">
        <f>VLOOKUP("Stk",Sprachindex!A:Z,Info!$O$6,FALSE)</f>
        <v>STK</v>
      </c>
      <c r="C53" s="146"/>
      <c r="D53" s="136">
        <f t="shared" ref="D53:D58" si="3">IF($N$20=1,T53,IF($N$20=4,U53,IF($N$20=5,V53,IF($N$20=11,W53,IF($N$20=7,X53,IF($N$20=3,Y53,IF($N$20=6,Z53,IF($N$20=9,AA53,IF($N$20=2,AB53,IF($N$20=8,AC53,0))))))))))</f>
        <v>0</v>
      </c>
      <c r="E53" s="264" t="str">
        <f>VLOOKUP("PREFA Dach-Sicherheitshaken nach EN 517B",Sprachindex!A:Z,Info!$O$6,FALSE)</f>
        <v>PREFA Dach-Sicherheitshaken nach EN 517B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47"/>
      <c r="O53" s="1"/>
      <c r="P53" s="11"/>
      <c r="Q53" s="11" t="str">
        <f>ROUNDUP(A53/1,0)*1 &amp;" " &amp; VLOOKUP("Stk",Sprachindex!A:Z,Info!$O$6,FALSE)</f>
        <v>0 STK</v>
      </c>
      <c r="T53" s="72">
        <v>120000</v>
      </c>
      <c r="U53" s="72">
        <v>120001</v>
      </c>
      <c r="V53" s="72">
        <v>120002</v>
      </c>
      <c r="W53" s="72">
        <v>120003</v>
      </c>
      <c r="X53" s="72">
        <v>120004</v>
      </c>
      <c r="Y53" s="72">
        <v>120005</v>
      </c>
      <c r="Z53" s="72">
        <v>120006</v>
      </c>
      <c r="AA53" s="72">
        <v>120007</v>
      </c>
      <c r="AB53" s="72">
        <v>120008</v>
      </c>
      <c r="AC53" s="72">
        <v>635550</v>
      </c>
    </row>
    <row r="54" spans="1:39" ht="32.1" customHeight="1">
      <c r="A54" s="164"/>
      <c r="B54" s="137" t="str">
        <f>VLOOKUP("Stk",Sprachindex!A:Z,Info!$O$6,FALSE)</f>
        <v>STK</v>
      </c>
      <c r="C54" s="146"/>
      <c r="D54" s="136">
        <f t="shared" si="3"/>
        <v>0</v>
      </c>
      <c r="E54" s="264" t="str">
        <f>VLOOKUP("PREFA Einfassungsplatte für Dachplatte R.16 und FX.12, glatt, ⌀ 80–125 mm",Sprachindex!A:Z,Info!$O$6,FALSE)</f>
        <v>PREFA Einfassungsplatte für Dachplatte R.16 und FX.12, glatt, ⌀ 80–125 mm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47"/>
      <c r="O54" s="1"/>
      <c r="P54" s="11"/>
      <c r="Q54" s="11" t="str">
        <f>ROUNDUP(A54/1,0)*1 &amp;" " &amp; VLOOKUP("Stk",Sprachindex!A:Z,Info!$O$6,FALSE)</f>
        <v>0 STK</v>
      </c>
      <c r="T54" s="72">
        <v>112061</v>
      </c>
      <c r="U54" s="72">
        <v>112062</v>
      </c>
      <c r="V54" s="72">
        <v>112063</v>
      </c>
      <c r="W54" s="72">
        <v>112064</v>
      </c>
      <c r="X54" s="72">
        <v>112065</v>
      </c>
      <c r="Y54" s="72">
        <v>112066</v>
      </c>
      <c r="Z54" s="72">
        <v>112067</v>
      </c>
      <c r="AA54" s="72">
        <v>112068</v>
      </c>
      <c r="AB54" s="72">
        <v>112069</v>
      </c>
      <c r="AC54" s="72">
        <v>112060</v>
      </c>
    </row>
    <row r="55" spans="1:39" ht="32.1" customHeight="1">
      <c r="A55" s="164"/>
      <c r="B55" s="137" t="str">
        <f>VLOOKUP("Stk",Sprachindex!A:Z,Info!$O$6,FALSE)</f>
        <v>STK</v>
      </c>
      <c r="C55" s="146"/>
      <c r="D55" s="136">
        <f t="shared" si="3"/>
        <v>0</v>
      </c>
      <c r="E55" s="264" t="str">
        <f>VLOOKUP("PREFA Universaleinfassung 2-teilig, glatt, Ø 40 - 120 mm",Sprachindex!A:Z,Info!$O$6,FALSE)</f>
        <v>PREFA Universaleinfassung 2-teilig, glatt, Ø 40 - 120 mm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47"/>
      <c r="O55" s="1"/>
      <c r="P55" s="11"/>
      <c r="Q55" s="11" t="str">
        <f>ROUNDUP(A55/1,0)*1 &amp;" " &amp; VLOOKUP("Stk",Sprachindex!A:Z,Info!$O$6,FALSE)</f>
        <v>0 STK</v>
      </c>
      <c r="T55" s="72">
        <v>110240</v>
      </c>
      <c r="U55" s="72">
        <v>110241</v>
      </c>
      <c r="V55" s="72">
        <v>110242</v>
      </c>
      <c r="W55" s="72">
        <v>110243</v>
      </c>
      <c r="X55" s="72">
        <v>110244</v>
      </c>
      <c r="Y55" s="72">
        <v>110245</v>
      </c>
      <c r="Z55" s="72">
        <v>110246</v>
      </c>
      <c r="AA55" s="72">
        <v>110247</v>
      </c>
      <c r="AB55" s="72">
        <v>110248</v>
      </c>
      <c r="AC55" s="72">
        <v>513032</v>
      </c>
    </row>
    <row r="56" spans="1:39" ht="32.1" customHeight="1">
      <c r="A56" s="164"/>
      <c r="B56" s="137" t="str">
        <f>VLOOKUP("Stk",Sprachindex!A:Z,Info!$O$6,FALSE)</f>
        <v>STK</v>
      </c>
      <c r="C56" s="146"/>
      <c r="D56" s="136">
        <f t="shared" si="3"/>
        <v>0</v>
      </c>
      <c r="E56" s="264" t="str">
        <f>VLOOKUP("PREFA Entlüftungshaube Ø 100, glatt",Sprachindex!A:Z,Info!$O$6,FALSE)</f>
        <v>PREFA Entlüftungshaube Ø 100, glatt</v>
      </c>
      <c r="F56" s="265"/>
      <c r="G56" s="265"/>
      <c r="H56" s="265"/>
      <c r="I56" s="265"/>
      <c r="J56" s="265"/>
      <c r="K56" s="266"/>
      <c r="L56" s="137" t="str">
        <f t="shared" ref="L56:L81" si="4">IF(A56=0,"",IF($N$10=1,P56,Q56))</f>
        <v/>
      </c>
      <c r="M56" s="147"/>
      <c r="O56" s="1"/>
      <c r="P56" s="11"/>
      <c r="Q56" s="11" t="str">
        <f>ROUNDUP(A56/1,0)*1 &amp;" " &amp; VLOOKUP("Stk",Sprachindex!A:Z,Info!$O$6,FALSE)</f>
        <v>0 STK</v>
      </c>
      <c r="T56" s="72">
        <v>110280</v>
      </c>
      <c r="U56" s="72">
        <v>110281</v>
      </c>
      <c r="V56" s="72">
        <v>110282</v>
      </c>
      <c r="W56" s="72">
        <v>110283</v>
      </c>
      <c r="X56" s="72">
        <v>110284</v>
      </c>
      <c r="Y56" s="72">
        <v>110285</v>
      </c>
      <c r="Z56" s="72">
        <v>110286</v>
      </c>
      <c r="AA56" s="72">
        <v>110287</v>
      </c>
      <c r="AB56" s="72">
        <v>110288</v>
      </c>
      <c r="AC56" s="72">
        <v>513006</v>
      </c>
    </row>
    <row r="57" spans="1:39" ht="32.1" customHeight="1">
      <c r="A57" s="164"/>
      <c r="B57" s="137" t="str">
        <f>VLOOKUP("Stk",Sprachindex!A:Z,Info!$O$6,FALSE)</f>
        <v>STK</v>
      </c>
      <c r="C57" s="146"/>
      <c r="D57" s="136">
        <f t="shared" si="3"/>
        <v>0</v>
      </c>
      <c r="E57" s="264" t="str">
        <f>VLOOKUP("PREFA Entlüftungsrohr ⌀ 100, passend für HT-Rohr NW 110",Sprachindex!A:Z,Info!$O$6,FALSE)</f>
        <v>PREFA Entlüftungsrohr ⌀ 100, passend für HT-Rohr NW 110</v>
      </c>
      <c r="F57" s="265"/>
      <c r="G57" s="265"/>
      <c r="H57" s="265"/>
      <c r="I57" s="265"/>
      <c r="J57" s="265"/>
      <c r="K57" s="266"/>
      <c r="L57" s="137" t="str">
        <f t="shared" si="4"/>
        <v/>
      </c>
      <c r="M57" s="147"/>
      <c r="O57" s="1"/>
      <c r="P57" s="11"/>
      <c r="Q57" s="11" t="str">
        <f>ROUNDUP(A57/1,0)*1 &amp;" " &amp; VLOOKUP("Stk",Sprachindex!A:Z,Info!$O$6,FALSE)</f>
        <v>0 STK</v>
      </c>
      <c r="T57" s="72">
        <v>110200</v>
      </c>
      <c r="U57" s="72">
        <v>110201</v>
      </c>
      <c r="V57" s="72">
        <v>110202</v>
      </c>
      <c r="W57" s="72">
        <v>110203</v>
      </c>
      <c r="X57" s="72">
        <v>110204</v>
      </c>
      <c r="Y57" s="72">
        <v>110205</v>
      </c>
      <c r="Z57" s="72">
        <v>110206</v>
      </c>
      <c r="AA57" s="72">
        <v>110207</v>
      </c>
      <c r="AB57" s="72">
        <v>110208</v>
      </c>
      <c r="AC57" s="72">
        <v>513029</v>
      </c>
    </row>
    <row r="58" spans="1:39" ht="32.1" customHeight="1">
      <c r="A58" s="164"/>
      <c r="B58" s="137" t="str">
        <f>VLOOKUP("Stk",Sprachindex!A:Z,Info!$O$6,FALSE)</f>
        <v>STK</v>
      </c>
      <c r="C58" s="146"/>
      <c r="D58" s="136">
        <f t="shared" si="3"/>
        <v>0</v>
      </c>
      <c r="E58" s="264" t="str">
        <f>VLOOKUP("PREFA Entlüftungsrohr ⌀ 120, passend für HT-Rohr NW 125",Sprachindex!A:Z,Info!$O$6,FALSE)</f>
        <v>PREFA Entlüftungsrohr ⌀ 120, passend für HT-Rohr NW 125</v>
      </c>
      <c r="F58" s="265"/>
      <c r="G58" s="265"/>
      <c r="H58" s="265"/>
      <c r="I58" s="265"/>
      <c r="J58" s="265"/>
      <c r="K58" s="266"/>
      <c r="L58" s="137" t="str">
        <f t="shared" si="4"/>
        <v/>
      </c>
      <c r="M58" s="147"/>
      <c r="O58" s="1"/>
      <c r="P58" s="11"/>
      <c r="Q58" s="11" t="str">
        <f>ROUNDUP(A58/1,0)*1 &amp;" " &amp; VLOOKUP("Stk",Sprachindex!A:Z,Info!$O$6,FALSE)</f>
        <v>0 STK</v>
      </c>
      <c r="T58" s="72">
        <v>110210</v>
      </c>
      <c r="U58" s="72">
        <v>110211</v>
      </c>
      <c r="V58" s="72">
        <v>110212</v>
      </c>
      <c r="W58" s="72">
        <v>110213</v>
      </c>
      <c r="X58" s="72">
        <v>110214</v>
      </c>
      <c r="Y58" s="72">
        <v>110215</v>
      </c>
      <c r="Z58" s="72">
        <v>110216</v>
      </c>
      <c r="AA58" s="72">
        <v>110217</v>
      </c>
      <c r="AB58" s="72">
        <v>110218</v>
      </c>
      <c r="AC58" s="72">
        <v>513083</v>
      </c>
    </row>
    <row r="59" spans="1:39" ht="32.1" customHeight="1">
      <c r="A59" s="164"/>
      <c r="B59" s="137" t="str">
        <f>VLOOKUP("Stk",Sprachindex!A:Z,Info!$O$6,FALSE)</f>
        <v>STK</v>
      </c>
      <c r="C59" s="146"/>
      <c r="D59" s="142">
        <v>340943</v>
      </c>
      <c r="E59" s="264" t="str">
        <f>VLOOKUP("PREFA Faltmanschette Ø 100-130",Sprachindex!A:Z,Info!$O$6,FALSE)</f>
        <v>PREFA Faltmanschette Ø 100-130</v>
      </c>
      <c r="F59" s="265"/>
      <c r="G59" s="265"/>
      <c r="H59" s="265"/>
      <c r="I59" s="265"/>
      <c r="J59" s="265"/>
      <c r="K59" s="266"/>
      <c r="L59" s="137" t="str">
        <f t="shared" si="4"/>
        <v/>
      </c>
      <c r="M59" s="147"/>
      <c r="O59" s="1"/>
      <c r="P59" s="11"/>
      <c r="Q59" s="11" t="str">
        <f>ROUNDUP(A59/1,0)*1 &amp;" " &amp; VLOOKUP("Stk",Sprachindex!A:Z,Info!$O$6,FALSE)</f>
        <v>0 STK</v>
      </c>
      <c r="T59" s="75" t="s">
        <v>1554</v>
      </c>
      <c r="U59" s="75" t="s">
        <v>1555</v>
      </c>
      <c r="V59" s="75" t="s">
        <v>1556</v>
      </c>
      <c r="W59" s="75" t="s">
        <v>1557</v>
      </c>
      <c r="X59" s="75" t="s">
        <v>1558</v>
      </c>
      <c r="Y59" s="75" t="s">
        <v>1559</v>
      </c>
      <c r="Z59" s="75" t="s">
        <v>1560</v>
      </c>
      <c r="AA59" s="75" t="s">
        <v>1561</v>
      </c>
      <c r="AB59" s="75" t="s">
        <v>1562</v>
      </c>
      <c r="AC59" s="75" t="s">
        <v>1563</v>
      </c>
      <c r="AD59" s="75" t="s">
        <v>1554</v>
      </c>
      <c r="AE59" s="75" t="s">
        <v>1555</v>
      </c>
      <c r="AF59" s="75" t="s">
        <v>1556</v>
      </c>
      <c r="AG59" s="75" t="s">
        <v>1557</v>
      </c>
      <c r="AH59" s="75" t="s">
        <v>1558</v>
      </c>
      <c r="AI59" s="75" t="s">
        <v>1559</v>
      </c>
      <c r="AJ59" s="75" t="s">
        <v>1560</v>
      </c>
      <c r="AK59" s="75" t="s">
        <v>1561</v>
      </c>
      <c r="AL59" s="75" t="s">
        <v>1562</v>
      </c>
      <c r="AM59" s="75" t="s">
        <v>1563</v>
      </c>
    </row>
    <row r="60" spans="1:39" ht="32.1" customHeight="1">
      <c r="A60" s="164"/>
      <c r="B60" s="137" t="str">
        <f>VLOOKUP("Stk",Sprachindex!A:Z,Info!$O$6,FALSE)</f>
        <v>STK</v>
      </c>
      <c r="C60" s="146"/>
      <c r="D60" s="136">
        <f t="shared" ref="D60" si="5">IF(AND($N$8=2,$N$20=1),T60,IF(AND($N$8=2,$N$20=4),U60,IF(AND($N$8=2,$N$20=5),V60,IF(AND($N$8=2,$N$20=11),W60,IF(AND($N$8=2,$N$20=7),X60,IF(AND($N$8=2,$N$20=3),Y60,IF(AND($N$8=2,$N$20=6),Z60,IF(AND($N$8=2,$N$20=9),AA60,IF(AND($N$8=2,$N$20=2),AB60,IF(AND($N$8=2,$N$20=8),AC60,IF(AND($N$8=1,$N$20=1),AD60,IF(AND($N$8=1,$N$20=1),AD60,IF(AND($N$8=1,$N$20=4),AE60,IF(AND($N$8=1,$N$20=5),AF60,IF(AND($N$8=1,$N$20=11),AG60,IF(AND($N$8=1,$N$20=7),AH60,IF(AND($N$8=1,$N$20=3),AI60,IF(AND($N$8=1,$N$20=6),AJ60,IF(AND($N$8=1,$N$20=9),AK60,IF(AND($N$8=1,$N$20=2),AL60,IF(AND($N$8=1,$N$20=8),AM60,0)))))))))))))))))))))</f>
        <v>0</v>
      </c>
      <c r="E60" s="264" t="str">
        <f>VLOOKUP("PREFA Unterlagsplatte L=540 x B=125 mm, stucco",Sprachindex!A:Z,Info!$O$6,FALSE)</f>
        <v>PREFA Unterlagsplatte L=540 x B=125 mm, stucco</v>
      </c>
      <c r="F60" s="265"/>
      <c r="G60" s="265"/>
      <c r="H60" s="265"/>
      <c r="I60" s="265"/>
      <c r="J60" s="265"/>
      <c r="K60" s="266"/>
      <c r="L60" s="137" t="str">
        <f t="shared" si="4"/>
        <v/>
      </c>
      <c r="M60" s="147"/>
      <c r="O60" s="1"/>
      <c r="P60" s="11"/>
      <c r="Q60" s="11" t="str">
        <f>ROUNDUP(A60/1,0)*1 &amp;" " &amp; VLOOKUP("Stk",Sprachindex!A:Z,Info!$O$6,FALSE)</f>
        <v>0 STK</v>
      </c>
      <c r="T60" s="72">
        <v>110360</v>
      </c>
      <c r="U60" s="72">
        <v>110361</v>
      </c>
      <c r="V60" s="72">
        <v>110362</v>
      </c>
      <c r="W60" s="72">
        <v>110363</v>
      </c>
      <c r="X60" s="72">
        <v>110364</v>
      </c>
      <c r="Y60" s="72">
        <v>110365</v>
      </c>
      <c r="Z60" s="72">
        <v>110366</v>
      </c>
      <c r="AA60" s="72">
        <v>110367</v>
      </c>
      <c r="AB60" s="72">
        <v>110368</v>
      </c>
      <c r="AD60" s="72">
        <v>110370</v>
      </c>
      <c r="AE60" s="72">
        <v>110371</v>
      </c>
      <c r="AF60" s="72">
        <v>110372</v>
      </c>
      <c r="AG60" s="72">
        <v>110373</v>
      </c>
      <c r="AH60" s="72">
        <v>110374</v>
      </c>
      <c r="AI60" s="72">
        <v>110375</v>
      </c>
      <c r="AJ60" s="72">
        <v>110376</v>
      </c>
      <c r="AK60" s="72">
        <v>110377</v>
      </c>
      <c r="AL60" s="72">
        <v>110378</v>
      </c>
    </row>
    <row r="61" spans="1:39" ht="32.1" customHeight="1">
      <c r="A61" s="164"/>
      <c r="B61" s="137" t="str">
        <f>VLOOKUP("Stk",Sprachindex!A:Z,Info!$O$6,FALSE)</f>
        <v>STK</v>
      </c>
      <c r="C61" s="146"/>
      <c r="D61" s="136">
        <f t="shared" ref="D61:D77" si="6">IF($N$20=1,T61,IF($N$20=4,U61,IF($N$20=5,V61,IF($N$20=11,W61,IF($N$20=7,X61,IF($N$20=3,Y61,IF($N$20=6,Z61,IF($N$20=9,AA61,IF($N$20=2,AB61,IF($N$20=8,AC61,0))))))))))</f>
        <v>0</v>
      </c>
      <c r="E61" s="264" t="str">
        <f>VLOOKUP("PREFA Schneestopper für Dachplatte R.16 und FX.12",Sprachindex!A:Z,Info!$O$6,FALSE)</f>
        <v>PREFA Schneestopper für Dachplatte R.16 und FX.12</v>
      </c>
      <c r="F61" s="265"/>
      <c r="G61" s="265"/>
      <c r="H61" s="265"/>
      <c r="I61" s="265"/>
      <c r="J61" s="265"/>
      <c r="K61" s="266"/>
      <c r="L61" s="137" t="str">
        <f t="shared" si="4"/>
        <v/>
      </c>
      <c r="M61" s="147"/>
      <c r="O61" s="1"/>
      <c r="P61" s="11"/>
      <c r="Q61" s="11" t="str">
        <f>ROUNDUP(A61/1,0)*1 &amp;" " &amp; VLOOKUP("Stk",Sprachindex!A:Z,Info!$O$6,FALSE)</f>
        <v>0 STK</v>
      </c>
      <c r="T61" s="72">
        <v>110300</v>
      </c>
      <c r="U61" s="72">
        <v>110301</v>
      </c>
      <c r="V61" s="72">
        <v>110302</v>
      </c>
      <c r="W61" s="72">
        <v>110303</v>
      </c>
      <c r="X61" s="72">
        <v>110304</v>
      </c>
      <c r="Y61" s="72">
        <v>110305</v>
      </c>
      <c r="Z61" s="72">
        <v>110306</v>
      </c>
      <c r="AA61" s="72">
        <v>110307</v>
      </c>
      <c r="AB61" s="72">
        <v>110308</v>
      </c>
      <c r="AC61" s="72">
        <v>516036</v>
      </c>
    </row>
    <row r="62" spans="1:39" ht="32.1" customHeight="1">
      <c r="A62" s="164"/>
      <c r="B62" s="137" t="str">
        <f>VLOOKUP("Stk",Sprachindex!A:Z,Info!$O$6,FALSE)</f>
        <v>STK</v>
      </c>
      <c r="C62" s="146"/>
      <c r="D62" s="136">
        <f t="shared" si="6"/>
        <v>0</v>
      </c>
      <c r="E62" s="264" t="str">
        <f>VLOOKUP("PREFA Schneerechenhaken",Sprachindex!A:Z,Info!$O$6,FALSE)</f>
        <v>PREFA Schneerechenhaken</v>
      </c>
      <c r="F62" s="265"/>
      <c r="G62" s="265"/>
      <c r="H62" s="265"/>
      <c r="I62" s="265"/>
      <c r="J62" s="265"/>
      <c r="K62" s="266"/>
      <c r="L62" s="137" t="str">
        <f t="shared" si="4"/>
        <v/>
      </c>
      <c r="M62" s="147"/>
      <c r="O62" s="1"/>
      <c r="P62" s="11"/>
      <c r="Q62" s="11" t="str">
        <f>ROUNDUP(A62/1,0)*1 &amp;" " &amp; VLOOKUP("Stk",Sprachindex!A:Z,Info!$O$6,FALSE)</f>
        <v>0 STK</v>
      </c>
      <c r="T62" s="72">
        <v>120130</v>
      </c>
      <c r="U62" s="72">
        <v>120131</v>
      </c>
      <c r="V62" s="72">
        <v>120132</v>
      </c>
      <c r="W62" s="72">
        <v>120133</v>
      </c>
      <c r="X62" s="72">
        <v>120134</v>
      </c>
      <c r="Y62" s="72">
        <v>120135</v>
      </c>
      <c r="Z62" s="72">
        <v>120136</v>
      </c>
      <c r="AA62" s="72">
        <v>120137</v>
      </c>
      <c r="AB62" s="72">
        <v>120138</v>
      </c>
      <c r="AC62" s="72">
        <v>515006</v>
      </c>
    </row>
    <row r="63" spans="1:39" ht="32.1" customHeight="1">
      <c r="A63" s="164"/>
      <c r="B63" s="137" t="str">
        <f>VLOOKUP("lfm",Sprachindex!A:Z,Info!$O$6,FALSE)</f>
        <v>lfm</v>
      </c>
      <c r="C63" s="146"/>
      <c r="D63" s="136">
        <f t="shared" si="6"/>
        <v>0</v>
      </c>
      <c r="E63" s="264" t="str">
        <f>VLOOKUP("PREFA Rundstange (15 Ø x 3.000 mm) für Schneerechenhaken",Sprachindex!A:Z,Info!$O$6,FALSE)</f>
        <v>PREFA Rundstange (15 Ø x 3.000 mm) für Schneerechenhaken</v>
      </c>
      <c r="F63" s="265"/>
      <c r="G63" s="265"/>
      <c r="H63" s="265"/>
      <c r="I63" s="265"/>
      <c r="J63" s="265"/>
      <c r="K63" s="266"/>
      <c r="L63" s="137" t="str">
        <f t="shared" si="4"/>
        <v/>
      </c>
      <c r="M63" s="147"/>
      <c r="O63" s="1"/>
      <c r="P63" s="11"/>
      <c r="Q63" s="11" t="str">
        <f>ROUNDUP(A63/3,0)*3 &amp;" " &amp; VLOOKUP("lfm",Sprachindex!A:Z,Info!$O$6,FALSE)</f>
        <v>0 lfm</v>
      </c>
      <c r="T63" s="72">
        <v>120300</v>
      </c>
      <c r="U63" s="72">
        <v>120301</v>
      </c>
      <c r="V63" s="72">
        <v>120302</v>
      </c>
      <c r="W63" s="72">
        <v>120303</v>
      </c>
      <c r="X63" s="72">
        <v>120304</v>
      </c>
      <c r="Y63" s="72">
        <v>120305</v>
      </c>
      <c r="Z63" s="72">
        <v>120306</v>
      </c>
      <c r="AA63" s="72">
        <v>120307</v>
      </c>
      <c r="AB63" s="72">
        <v>120308</v>
      </c>
      <c r="AC63" s="72">
        <v>569003</v>
      </c>
    </row>
    <row r="64" spans="1:39" ht="32.1" customHeight="1">
      <c r="A64" s="164"/>
      <c r="B64" s="137" t="str">
        <f>VLOOKUP("Stk",Sprachindex!A:Z,Info!$O$6,FALSE)</f>
        <v>STK</v>
      </c>
      <c r="C64" s="146"/>
      <c r="D64" s="136">
        <f t="shared" si="6"/>
        <v>0</v>
      </c>
      <c r="E64" s="264" t="str">
        <f>VLOOKUP("PREFA Abschluss für Schneerechen",Sprachindex!A:Z,Info!$O$6,FALSE)</f>
        <v>PREFA Abschluss für Schneerechen</v>
      </c>
      <c r="F64" s="265"/>
      <c r="G64" s="265"/>
      <c r="H64" s="265"/>
      <c r="I64" s="265"/>
      <c r="J64" s="265"/>
      <c r="K64" s="266"/>
      <c r="L64" s="137" t="str">
        <f t="shared" si="4"/>
        <v/>
      </c>
      <c r="M64" s="147"/>
      <c r="O64" s="1"/>
      <c r="P64" s="11"/>
      <c r="Q64" s="11" t="str">
        <f>ROUNDUP(A64/1,0)*1 &amp;" " &amp; VLOOKUP("Stk",Sprachindex!A:Z,Info!$O$6,FALSE)</f>
        <v>0 STK</v>
      </c>
      <c r="T64" s="72">
        <v>120380</v>
      </c>
      <c r="U64" s="72">
        <v>120381</v>
      </c>
      <c r="V64" s="72">
        <v>120382</v>
      </c>
      <c r="W64" s="72">
        <v>120383</v>
      </c>
      <c r="X64" s="72">
        <v>120384</v>
      </c>
      <c r="Y64" s="72">
        <v>120385</v>
      </c>
      <c r="Z64" s="72">
        <v>120386</v>
      </c>
      <c r="AA64" s="72">
        <v>120387</v>
      </c>
      <c r="AB64" s="72">
        <v>120388</v>
      </c>
      <c r="AC64" s="72">
        <v>537170</v>
      </c>
    </row>
    <row r="65" spans="1:29" ht="32.1" customHeight="1">
      <c r="A65" s="164"/>
      <c r="B65" s="137" t="str">
        <f>VLOOKUP("Stk",Sprachindex!A:Z,Info!$O$6,FALSE)</f>
        <v>STK</v>
      </c>
      <c r="C65" s="146"/>
      <c r="D65" s="136">
        <f t="shared" si="6"/>
        <v>0</v>
      </c>
      <c r="E65" s="264" t="str">
        <f>VLOOKUP("PREFA Schneerechensystem (205 x 66 x 303 mm)",Sprachindex!A:Z,Info!$O$6,FALSE)</f>
        <v>PREFA Schneerechensystem (205 x 66 x 303 mm)</v>
      </c>
      <c r="F65" s="265"/>
      <c r="G65" s="265"/>
      <c r="H65" s="265"/>
      <c r="I65" s="265"/>
      <c r="J65" s="265"/>
      <c r="K65" s="266"/>
      <c r="L65" s="137" t="str">
        <f t="shared" si="4"/>
        <v/>
      </c>
      <c r="M65" s="147"/>
      <c r="O65" s="1"/>
      <c r="P65" s="11"/>
      <c r="Q65" s="11" t="str">
        <f>ROUNDUP(A65/2,0)*2 &amp;" " &amp; VLOOKUP("Stk",Sprachindex!A:Z,Info!$O$6,FALSE)</f>
        <v>0 STK</v>
      </c>
      <c r="T65" s="72">
        <v>120180</v>
      </c>
      <c r="U65" s="72">
        <v>120181</v>
      </c>
      <c r="V65" s="72">
        <v>120182</v>
      </c>
      <c r="W65" s="72">
        <v>120183</v>
      </c>
      <c r="X65" s="72">
        <v>120184</v>
      </c>
      <c r="Y65" s="72">
        <v>120185</v>
      </c>
      <c r="Z65" s="72">
        <v>120186</v>
      </c>
      <c r="AA65" s="72">
        <v>120187</v>
      </c>
      <c r="AB65" s="72">
        <v>120188</v>
      </c>
      <c r="AC65" s="72">
        <v>515311</v>
      </c>
    </row>
    <row r="66" spans="1:29" ht="32.1" customHeight="1">
      <c r="A66" s="164"/>
      <c r="B66" s="137" t="str">
        <f>VLOOKUP("lfm",Sprachindex!A:Z,Info!$O$6,FALSE)</f>
        <v>lfm</v>
      </c>
      <c r="C66" s="146"/>
      <c r="D66" s="136">
        <f t="shared" si="6"/>
        <v>0</v>
      </c>
      <c r="E66" s="264" t="str">
        <f>VLOOKUP("PREFA Schneerechensystem Einlegprofil (3.000 mm)",Sprachindex!A:Z,Info!$O$6,FALSE)</f>
        <v>PREFA Schneerechensystem Einlegprofil (3.000 mm)</v>
      </c>
      <c r="F66" s="265"/>
      <c r="G66" s="265"/>
      <c r="H66" s="265"/>
      <c r="I66" s="265"/>
      <c r="J66" s="265"/>
      <c r="K66" s="266"/>
      <c r="L66" s="137" t="str">
        <f t="shared" si="4"/>
        <v/>
      </c>
      <c r="M66" s="147"/>
      <c r="O66" s="1"/>
      <c r="P66" s="11"/>
      <c r="Q66" s="11" t="str">
        <f>ROUNDUP(A66/3,0)*3 &amp;" " &amp; VLOOKUP("lfm",Sprachindex!A:Z,Info!$O$6,FALSE)</f>
        <v>0 lfm</v>
      </c>
      <c r="T66" s="72">
        <v>120350</v>
      </c>
      <c r="U66" s="72">
        <v>120351</v>
      </c>
      <c r="V66" s="72">
        <v>120352</v>
      </c>
      <c r="W66" s="72">
        <v>120353</v>
      </c>
      <c r="X66" s="72">
        <v>120354</v>
      </c>
      <c r="Y66" s="72">
        <v>120355</v>
      </c>
      <c r="Z66" s="72">
        <v>120356</v>
      </c>
      <c r="AA66" s="72">
        <v>120357</v>
      </c>
      <c r="AB66" s="72">
        <v>120358</v>
      </c>
      <c r="AC66" s="1">
        <v>669600</v>
      </c>
    </row>
    <row r="67" spans="1:29" ht="32.1" customHeight="1">
      <c r="A67" s="164"/>
      <c r="B67" s="137" t="str">
        <f>VLOOKUP("Stk",Sprachindex!A:Z,Info!$O$6,FALSE)</f>
        <v>STK</v>
      </c>
      <c r="C67" s="146"/>
      <c r="D67" s="136">
        <f t="shared" si="6"/>
        <v>0</v>
      </c>
      <c r="E67" s="264" t="str">
        <f>VLOOKUP("PREFA Schneerechensystem Eiskralle",Sprachindex!A:Z,Info!$O$6,FALSE)</f>
        <v>PREFA Schneerechensystem Eiskralle</v>
      </c>
      <c r="F67" s="265"/>
      <c r="G67" s="265"/>
      <c r="H67" s="265"/>
      <c r="I67" s="265"/>
      <c r="J67" s="265"/>
      <c r="K67" s="266"/>
      <c r="L67" s="137" t="str">
        <f t="shared" si="4"/>
        <v/>
      </c>
      <c r="M67" s="147"/>
      <c r="O67" s="1"/>
      <c r="P67" s="11"/>
      <c r="Q67" s="11" t="str">
        <f>ROUNDUP(A67/1,0)*1 &amp;" " &amp; VLOOKUP("Stk",Sprachindex!A:Z,Info!$O$6,FALSE)</f>
        <v>0 STK</v>
      </c>
      <c r="T67" s="72">
        <v>120700</v>
      </c>
      <c r="U67" s="72">
        <v>120701</v>
      </c>
      <c r="V67" s="72">
        <v>120702</v>
      </c>
      <c r="W67" s="72">
        <v>120703</v>
      </c>
      <c r="X67" s="72">
        <v>120704</v>
      </c>
      <c r="Y67" s="72">
        <v>120705</v>
      </c>
      <c r="Z67" s="72">
        <v>120706</v>
      </c>
      <c r="AA67" s="72">
        <v>120707</v>
      </c>
      <c r="AB67" s="72">
        <v>120708</v>
      </c>
      <c r="AC67" s="72">
        <v>649651</v>
      </c>
    </row>
    <row r="68" spans="1:29" ht="32.1" customHeight="1">
      <c r="A68" s="164"/>
      <c r="B68" s="137" t="str">
        <f>VLOOKUP("Stk",Sprachindex!A:Z,Info!$O$6,FALSE)</f>
        <v>STK</v>
      </c>
      <c r="C68" s="146"/>
      <c r="D68" s="136">
        <f t="shared" si="6"/>
        <v>0</v>
      </c>
      <c r="E68" s="264" t="str">
        <f>VLOOKUP("PREFA Schneerechensystem Abschluss",Sprachindex!A:Z,Info!$O$6,FALSE)</f>
        <v>PREFA Schneerechensystem Abschluss</v>
      </c>
      <c r="F68" s="265"/>
      <c r="G68" s="265"/>
      <c r="H68" s="265"/>
      <c r="I68" s="265"/>
      <c r="J68" s="265"/>
      <c r="K68" s="266"/>
      <c r="L68" s="137" t="str">
        <f t="shared" si="4"/>
        <v/>
      </c>
      <c r="M68" s="147"/>
      <c r="O68" s="1"/>
      <c r="P68" s="11"/>
      <c r="Q68" s="11" t="str">
        <f>ROUNDUP(A68/1,0)*1 &amp;" " &amp; VLOOKUP("Stk",Sprachindex!A:Z,Info!$O$6,FALSE)</f>
        <v>0 STK</v>
      </c>
      <c r="T68" s="72">
        <v>120390</v>
      </c>
      <c r="U68" s="72">
        <v>120391</v>
      </c>
      <c r="V68" s="72">
        <v>120392</v>
      </c>
      <c r="W68" s="72">
        <v>120393</v>
      </c>
      <c r="X68" s="72">
        <v>120394</v>
      </c>
      <c r="Y68" s="72">
        <v>120395</v>
      </c>
      <c r="Z68" s="72">
        <v>120396</v>
      </c>
      <c r="AA68" s="72">
        <v>120397</v>
      </c>
      <c r="AB68" s="72">
        <v>120398</v>
      </c>
      <c r="AC68" s="72">
        <v>515312</v>
      </c>
    </row>
    <row r="69" spans="1:29" ht="32.1" customHeight="1">
      <c r="A69" s="164"/>
      <c r="B69" s="137" t="str">
        <f>VLOOKUP("Stk",Sprachindex!A:Z,Info!$O$6,FALSE)</f>
        <v>STK</v>
      </c>
      <c r="C69" s="146"/>
      <c r="D69" s="136">
        <f t="shared" si="6"/>
        <v>0</v>
      </c>
      <c r="E69" s="264" t="str">
        <f>VLOOKUP("PREFA Gebirgsschneefangstütze",Sprachindex!A:Z,Info!$O$6,FALSE)</f>
        <v>PREFA Gebirgsschneefangstütze</v>
      </c>
      <c r="F69" s="265"/>
      <c r="G69" s="265"/>
      <c r="H69" s="265"/>
      <c r="I69" s="265"/>
      <c r="J69" s="265"/>
      <c r="K69" s="266"/>
      <c r="L69" s="137" t="str">
        <f t="shared" si="4"/>
        <v/>
      </c>
      <c r="M69" s="147"/>
      <c r="O69" s="1"/>
      <c r="P69" s="11"/>
      <c r="Q69" s="11" t="str">
        <f>ROUNDUP(A69/1,0)*1 &amp;" " &amp; VLOOKUP("Stk",Sprachindex!A:Z,Info!$O$6,FALSE)</f>
        <v>0 STK</v>
      </c>
      <c r="T69" s="72">
        <v>120150</v>
      </c>
      <c r="U69" s="72">
        <v>120151</v>
      </c>
      <c r="V69" s="72">
        <v>120152</v>
      </c>
      <c r="W69" s="72">
        <v>120153</v>
      </c>
      <c r="X69" s="72">
        <v>120154</v>
      </c>
      <c r="Y69" s="72">
        <v>120155</v>
      </c>
      <c r="Z69" s="72">
        <v>120156</v>
      </c>
      <c r="AA69" s="72">
        <v>120157</v>
      </c>
      <c r="AB69" s="72">
        <v>120158</v>
      </c>
      <c r="AC69" s="72">
        <v>635801</v>
      </c>
    </row>
    <row r="70" spans="1:29" ht="32.1" customHeight="1">
      <c r="A70" s="164"/>
      <c r="B70" s="137" t="str">
        <f>VLOOKUP("Stk",Sprachindex!A:Z,Info!$O$6,FALSE)</f>
        <v>STK</v>
      </c>
      <c r="C70" s="146"/>
      <c r="D70" s="136">
        <f t="shared" si="6"/>
        <v>0</v>
      </c>
      <c r="E70" s="264" t="str">
        <f>VLOOKUP("PREFA Kaminhut 700 x 700 mm",Sprachindex!A:Z,Info!$O$6,FALSE)</f>
        <v>PREFA Kaminhut 700 x 700 mm</v>
      </c>
      <c r="F70" s="265"/>
      <c r="G70" s="265"/>
      <c r="H70" s="265"/>
      <c r="I70" s="265"/>
      <c r="J70" s="265"/>
      <c r="K70" s="266"/>
      <c r="L70" s="137" t="str">
        <f t="shared" si="4"/>
        <v/>
      </c>
      <c r="M70" s="147"/>
      <c r="O70" s="1"/>
      <c r="P70" s="11"/>
      <c r="Q70" s="11" t="str">
        <f>ROUNDUP(A70/1,0)*1 &amp;" " &amp; VLOOKUP("Stk",Sprachindex!A:Z,Info!$O$6,FALSE)</f>
        <v>0 STK</v>
      </c>
      <c r="T70" s="72">
        <v>110420</v>
      </c>
      <c r="U70" s="72">
        <v>110421</v>
      </c>
      <c r="V70" s="72">
        <v>110422</v>
      </c>
      <c r="W70" s="72">
        <v>110423</v>
      </c>
      <c r="X70" s="72">
        <v>110424</v>
      </c>
      <c r="Y70" s="72">
        <v>110425</v>
      </c>
      <c r="Z70" s="72">
        <v>110426</v>
      </c>
      <c r="AA70" s="72">
        <v>110427</v>
      </c>
      <c r="AB70" s="72">
        <v>110428</v>
      </c>
      <c r="AC70" s="72">
        <v>545001</v>
      </c>
    </row>
    <row r="71" spans="1:29" ht="32.1" customHeight="1">
      <c r="A71" s="164"/>
      <c r="B71" s="137" t="str">
        <f>VLOOKUP("Stk",Sprachindex!A:Z,Info!$O$6,FALSE)</f>
        <v>STK</v>
      </c>
      <c r="C71" s="146"/>
      <c r="D71" s="136">
        <f t="shared" si="6"/>
        <v>0</v>
      </c>
      <c r="E71" s="264" t="str">
        <f>VLOOKUP("PREFA Kaminhut 800 x 800 mm",Sprachindex!A:Z,Info!$O$6,FALSE)</f>
        <v>PREFA Kaminhut 800 x 800 mm</v>
      </c>
      <c r="F71" s="265"/>
      <c r="G71" s="265"/>
      <c r="H71" s="265"/>
      <c r="I71" s="265"/>
      <c r="J71" s="265"/>
      <c r="K71" s="266"/>
      <c r="L71" s="137" t="str">
        <f t="shared" si="4"/>
        <v/>
      </c>
      <c r="M71" s="147"/>
      <c r="O71" s="1"/>
      <c r="P71" s="11"/>
      <c r="Q71" s="11" t="str">
        <f>ROUNDUP(A71/1,0)*1 &amp;" " &amp; VLOOKUP("Stk",Sprachindex!A:Z,Info!$O$6,FALSE)</f>
        <v>0 STK</v>
      </c>
      <c r="T71" s="72">
        <v>110430</v>
      </c>
      <c r="U71" s="72">
        <v>110431</v>
      </c>
      <c r="V71" s="72">
        <v>110432</v>
      </c>
      <c r="W71" s="72">
        <v>110433</v>
      </c>
      <c r="X71" s="72">
        <v>110434</v>
      </c>
      <c r="Y71" s="72">
        <v>110435</v>
      </c>
      <c r="Z71" s="72">
        <v>110436</v>
      </c>
      <c r="AA71" s="72">
        <v>110437</v>
      </c>
      <c r="AB71" s="72">
        <v>110438</v>
      </c>
      <c r="AC71" s="72">
        <v>545012</v>
      </c>
    </row>
    <row r="72" spans="1:29" ht="32.1" customHeight="1">
      <c r="A72" s="164"/>
      <c r="B72" s="137" t="str">
        <f>VLOOKUP("Stk",Sprachindex!A:Z,Info!$O$6,FALSE)</f>
        <v>STK</v>
      </c>
      <c r="C72" s="146"/>
      <c r="D72" s="136">
        <f t="shared" si="6"/>
        <v>0</v>
      </c>
      <c r="E72" s="264" t="str">
        <f>VLOOKUP("PREFA Kaminhut 1.000 x 700 mm",Sprachindex!A:Z,Info!$O$6,FALSE)</f>
        <v>PREFA Kaminhut 1.000 x 700 mm</v>
      </c>
      <c r="F72" s="265"/>
      <c r="G72" s="265"/>
      <c r="H72" s="265"/>
      <c r="I72" s="265"/>
      <c r="J72" s="265"/>
      <c r="K72" s="266"/>
      <c r="L72" s="137" t="str">
        <f t="shared" si="4"/>
        <v/>
      </c>
      <c r="M72" s="147"/>
      <c r="O72" s="1"/>
      <c r="P72" s="11"/>
      <c r="Q72" s="11" t="str">
        <f>ROUNDUP(A72/1,0)*1 &amp;" " &amp; VLOOKUP("Stk",Sprachindex!A:Z,Info!$O$6,FALSE)</f>
        <v>0 STK</v>
      </c>
      <c r="T72" s="72">
        <v>110440</v>
      </c>
      <c r="U72" s="72">
        <v>110441</v>
      </c>
      <c r="V72" s="72">
        <v>110442</v>
      </c>
      <c r="W72" s="72">
        <v>110443</v>
      </c>
      <c r="X72" s="72">
        <v>110444</v>
      </c>
      <c r="Y72" s="72">
        <v>110445</v>
      </c>
      <c r="Z72" s="72">
        <v>110446</v>
      </c>
      <c r="AA72" s="72">
        <v>110447</v>
      </c>
      <c r="AB72" s="72">
        <v>110448</v>
      </c>
      <c r="AC72" s="72">
        <v>545003</v>
      </c>
    </row>
    <row r="73" spans="1:29" ht="32.1" customHeight="1">
      <c r="A73" s="164"/>
      <c r="B73" s="137" t="str">
        <f>VLOOKUP("Stk",Sprachindex!A:Z,Info!$O$6,FALSE)</f>
        <v>STK</v>
      </c>
      <c r="C73" s="146"/>
      <c r="D73" s="136">
        <f t="shared" si="6"/>
        <v>0</v>
      </c>
      <c r="E73" s="264" t="str">
        <f>VLOOKUP("PREFA Kaminhut 1.100 x 800 mm",Sprachindex!A:Z,Info!$O$6,FALSE)</f>
        <v>PREFA Kaminhut 1.100 x 800 mm</v>
      </c>
      <c r="F73" s="265"/>
      <c r="G73" s="265"/>
      <c r="H73" s="265"/>
      <c r="I73" s="265"/>
      <c r="J73" s="265"/>
      <c r="K73" s="266"/>
      <c r="L73" s="137" t="str">
        <f t="shared" si="4"/>
        <v/>
      </c>
      <c r="M73" s="147"/>
      <c r="O73" s="1"/>
      <c r="P73" s="11"/>
      <c r="Q73" s="11" t="str">
        <f>ROUNDUP(A73/1,0)*1 &amp;" " &amp; VLOOKUP("Stk",Sprachindex!A:Z,Info!$O$6,FALSE)</f>
        <v>0 STK</v>
      </c>
      <c r="T73" s="72">
        <v>110450</v>
      </c>
      <c r="U73" s="72">
        <v>110451</v>
      </c>
      <c r="V73" s="72">
        <v>110452</v>
      </c>
      <c r="W73" s="72">
        <v>110453</v>
      </c>
      <c r="X73" s="72">
        <v>110454</v>
      </c>
      <c r="Y73" s="72">
        <v>110455</v>
      </c>
      <c r="Z73" s="72">
        <v>110456</v>
      </c>
      <c r="AA73" s="72">
        <v>110457</v>
      </c>
      <c r="AB73" s="72">
        <v>110458</v>
      </c>
      <c r="AC73" s="72">
        <v>545016</v>
      </c>
    </row>
    <row r="74" spans="1:29" ht="32.1" customHeight="1">
      <c r="A74" s="164"/>
      <c r="B74" s="137" t="str">
        <f>VLOOKUP("Stk",Sprachindex!A:Z,Info!$O$6,FALSE)</f>
        <v>STK</v>
      </c>
      <c r="C74" s="146"/>
      <c r="D74" s="136">
        <f t="shared" si="6"/>
        <v>0</v>
      </c>
      <c r="E74" s="264" t="str">
        <f>VLOOKUP("PREFA Kaminhut 1.500 x 800 mm",Sprachindex!A:Z,Info!$O$6,FALSE)</f>
        <v>PREFA Kaminhut 1.500 x 800 mm</v>
      </c>
      <c r="F74" s="265"/>
      <c r="G74" s="265"/>
      <c r="H74" s="265"/>
      <c r="I74" s="265"/>
      <c r="J74" s="265"/>
      <c r="K74" s="266"/>
      <c r="L74" s="137" t="str">
        <f t="shared" si="4"/>
        <v/>
      </c>
      <c r="M74" s="147"/>
      <c r="O74" s="1"/>
      <c r="P74" s="11"/>
      <c r="Q74" s="11" t="str">
        <f>ROUNDUP(A74/1,0)*1 &amp;" " &amp; VLOOKUP("Stk",Sprachindex!A:Z,Info!$O$6,FALSE)</f>
        <v>0 STK</v>
      </c>
      <c r="T74" s="72">
        <v>110460</v>
      </c>
      <c r="U74" s="72">
        <v>110461</v>
      </c>
      <c r="V74" s="72">
        <v>110462</v>
      </c>
      <c r="W74" s="72">
        <v>110463</v>
      </c>
      <c r="X74" s="72">
        <v>110464</v>
      </c>
      <c r="Y74" s="72">
        <v>110465</v>
      </c>
      <c r="Z74" s="72">
        <v>110466</v>
      </c>
      <c r="AA74" s="72">
        <v>110467</v>
      </c>
      <c r="AB74" s="72">
        <v>110468</v>
      </c>
      <c r="AC74" s="72">
        <v>545005</v>
      </c>
    </row>
    <row r="75" spans="1:29" ht="32.1" customHeight="1">
      <c r="A75" s="164"/>
      <c r="B75" s="137" t="str">
        <f>VLOOKUP("Stk",Sprachindex!A:Z,Info!$O$6,FALSE)</f>
        <v>STK</v>
      </c>
      <c r="C75" s="146"/>
      <c r="D75" s="136">
        <f t="shared" si="6"/>
        <v>0</v>
      </c>
      <c r="E75" s="264" t="str">
        <f>VLOOKUP("Kaminstrebe gebogen",Sprachindex!A:Z,Info!$O$6,FALSE)</f>
        <v>Kaminstrebe gebogen</v>
      </c>
      <c r="F75" s="265"/>
      <c r="G75" s="265"/>
      <c r="H75" s="265"/>
      <c r="I75" s="265"/>
      <c r="J75" s="265"/>
      <c r="K75" s="266"/>
      <c r="L75" s="137" t="str">
        <f t="shared" si="4"/>
        <v/>
      </c>
      <c r="M75" s="147"/>
      <c r="O75" s="1"/>
      <c r="P75" s="11"/>
      <c r="Q75" s="11" t="str">
        <f>ROUNDUP(A75/1,0)*1 &amp;" " &amp; VLOOKUP("Stk",Sprachindex!A:Z,Info!$O$6,FALSE)</f>
        <v>0 STK</v>
      </c>
      <c r="T75" s="72">
        <v>110410</v>
      </c>
      <c r="U75" s="72">
        <v>110411</v>
      </c>
      <c r="V75" s="72">
        <v>110412</v>
      </c>
      <c r="W75" s="72">
        <v>110413</v>
      </c>
      <c r="X75" s="72">
        <v>110414</v>
      </c>
      <c r="Y75" s="72">
        <v>110415</v>
      </c>
      <c r="Z75" s="72">
        <v>110416</v>
      </c>
      <c r="AA75" s="72">
        <v>110417</v>
      </c>
      <c r="AB75" s="72">
        <v>110418</v>
      </c>
      <c r="AC75" s="72">
        <v>537029</v>
      </c>
    </row>
    <row r="76" spans="1:29" ht="32.1" customHeight="1">
      <c r="A76" s="164"/>
      <c r="B76" s="137" t="str">
        <f>VLOOKUP("lfm",Sprachindex!A:Z,Info!$O$6,FALSE)</f>
        <v>lfm</v>
      </c>
      <c r="C76" s="146"/>
      <c r="D76" s="136">
        <f t="shared" si="6"/>
        <v>0</v>
      </c>
      <c r="E76" s="264" t="str">
        <f>VLOOKUP("PREFA Flachprofil (35 x 7 x 3.000 mm)",Sprachindex!A:Z,Info!$O$6,FALSE)</f>
        <v>PREFA Flachprofil (35 x 7 x 3.000 mm)</v>
      </c>
      <c r="F76" s="265"/>
      <c r="G76" s="265"/>
      <c r="H76" s="265"/>
      <c r="I76" s="265"/>
      <c r="J76" s="265"/>
      <c r="K76" s="266"/>
      <c r="L76" s="137" t="str">
        <f t="shared" si="4"/>
        <v/>
      </c>
      <c r="M76" s="147"/>
      <c r="O76" s="1"/>
      <c r="P76" s="11"/>
      <c r="Q76" s="11" t="str">
        <f>ROUNDUP(A76/3,0)*3 &amp;" " &amp; VLOOKUP("lfm",Sprachindex!A:Z,Info!$O$6,FALSE)</f>
        <v>0 lfm</v>
      </c>
      <c r="T76" s="72">
        <v>110400</v>
      </c>
      <c r="U76" s="72">
        <v>110401</v>
      </c>
      <c r="V76" s="72">
        <v>110402</v>
      </c>
      <c r="W76" s="72">
        <v>110403</v>
      </c>
      <c r="X76" s="72">
        <v>110404</v>
      </c>
      <c r="Y76" s="72">
        <v>110405</v>
      </c>
      <c r="Z76" s="72">
        <v>110406</v>
      </c>
      <c r="AA76" s="72">
        <v>110407</v>
      </c>
      <c r="AB76" s="72">
        <v>110408</v>
      </c>
      <c r="AC76" s="72">
        <v>17012</v>
      </c>
    </row>
    <row r="77" spans="1:29" ht="32.1" customHeight="1">
      <c r="A77" s="164"/>
      <c r="B77" s="137" t="str">
        <f>VLOOKUP("Stk",Sprachindex!A:Z,Info!$O$6,FALSE)</f>
        <v>STK</v>
      </c>
      <c r="C77" s="146"/>
      <c r="D77" s="136">
        <f t="shared" si="6"/>
        <v>0</v>
      </c>
      <c r="E77" s="264" t="str">
        <f>VLOOKUP("PREFA Hauerbuckel, zum Abdecken von Befestigungsmitteln",Sprachindex!A:Z,Info!$O$6,FALSE)</f>
        <v>PREFA Hauerbuckel, zum Abdecken von Befestigungsmitteln</v>
      </c>
      <c r="F77" s="265"/>
      <c r="G77" s="265"/>
      <c r="H77" s="265"/>
      <c r="I77" s="265"/>
      <c r="J77" s="265"/>
      <c r="K77" s="266"/>
      <c r="L77" s="137" t="str">
        <f t="shared" si="4"/>
        <v/>
      </c>
      <c r="M77" s="147"/>
      <c r="O77" s="1"/>
      <c r="P77" s="11"/>
      <c r="Q77" s="11" t="str">
        <f>ROUNDUP(A77/1,0)*1 &amp;" " &amp; VLOOKUP("Stk",Sprachindex!A:Z,Info!$O$6,FALSE)</f>
        <v>0 STK</v>
      </c>
      <c r="T77" s="72">
        <v>112401</v>
      </c>
      <c r="U77" s="72">
        <v>112402</v>
      </c>
      <c r="V77" s="72">
        <v>112403</v>
      </c>
      <c r="W77" s="72">
        <v>112404</v>
      </c>
      <c r="X77" s="72">
        <v>112405</v>
      </c>
      <c r="Y77" s="72">
        <v>112406</v>
      </c>
      <c r="Z77" s="72">
        <v>112407</v>
      </c>
      <c r="AA77" s="72">
        <v>112408</v>
      </c>
      <c r="AB77" s="72">
        <v>112409</v>
      </c>
      <c r="AC77" s="72">
        <v>112420</v>
      </c>
    </row>
    <row r="78" spans="1:29" ht="32.1" customHeight="1">
      <c r="A78" s="164">
        <v>1</v>
      </c>
      <c r="B78" s="137" t="str">
        <f>VLOOKUP("Stk",Sprachindex!A:Z,Info!$O$6,FALSE)</f>
        <v>STK</v>
      </c>
      <c r="C78" s="146"/>
      <c r="D78" s="136">
        <v>420006</v>
      </c>
      <c r="E78" s="264" t="str">
        <f>VLOOKUP("PREFA Silikon Kartusche",Sprachindex!A:Z,Info!$O$6,FALSE)</f>
        <v>PREFA Silikon Kartusche</v>
      </c>
      <c r="F78" s="265"/>
      <c r="G78" s="265"/>
      <c r="H78" s="265"/>
      <c r="I78" s="265"/>
      <c r="J78" s="265"/>
      <c r="K78" s="266"/>
      <c r="L78" s="137" t="str">
        <f t="shared" si="4"/>
        <v>1 STK</v>
      </c>
      <c r="M78" s="147"/>
      <c r="O78" s="1"/>
      <c r="P78" s="57"/>
      <c r="Q78" s="11" t="str">
        <f>ROUNDUP(A78/1,0)*1 &amp;" " &amp; VLOOKUP("Stk",Sprachindex!A:Z,Info!$O$6,FALSE)</f>
        <v>1 STK</v>
      </c>
    </row>
    <row r="79" spans="1:29" ht="32.1" customHeight="1">
      <c r="A79" s="164"/>
      <c r="B79" s="137" t="str">
        <f>VLOOKUP("Set",Sprachindex!A:Z,Info!$O$6,FALSE)</f>
        <v>Set</v>
      </c>
      <c r="C79" s="146"/>
      <c r="D79" s="136">
        <v>420500</v>
      </c>
      <c r="E79" s="264" t="str">
        <f>VLOOKUP("PREFA Spezialkleberset",Sprachindex!A:Z,Info!$O$6,FALSE)</f>
        <v>PREFA Spezialkleberset</v>
      </c>
      <c r="F79" s="265"/>
      <c r="G79" s="265"/>
      <c r="H79" s="265"/>
      <c r="I79" s="265"/>
      <c r="J79" s="265"/>
      <c r="K79" s="266"/>
      <c r="L79" s="137" t="str">
        <f t="shared" si="4"/>
        <v/>
      </c>
      <c r="M79" s="147"/>
      <c r="O79" s="1"/>
      <c r="P79" s="11"/>
      <c r="Q79" s="11" t="str">
        <f>ROUNDUP(A79/1,0)*1 &amp;" " &amp; VLOOKUP("Set",Sprachindex!A:Z,Info!$O$6,FALSE)</f>
        <v>0 Set</v>
      </c>
    </row>
    <row r="80" spans="1:29" ht="32.1" customHeight="1">
      <c r="A80" s="164"/>
      <c r="B80" s="137" t="str">
        <f>VLOOKUP("kg",Sprachindex!A:Z,Info!$O$6,FALSE)</f>
        <v>kg</v>
      </c>
      <c r="C80" s="146"/>
      <c r="D80" s="139">
        <f>IF(I80=Formeln!A116,X80,IF(I80=Formeln!A117,T80,IF(I80=Formeln!A118,U80,IF(I80=Formeln!A119,V80,IF(I80=Formeln!A120,W80,0)))))</f>
        <v>0</v>
      </c>
      <c r="E80" s="267" t="str">
        <f>VLOOKUP("PREFA Lochblech DM 5 mm
ca. 24kg/Rolle (0,7x1.000 mm)",Sprachindex!A:Z,Info!$O$6,FALSE)</f>
        <v>PREFA Lochblech DM 5 mm
ca. 24kg/Rolle (0,7x1.000 mm)</v>
      </c>
      <c r="F80" s="268"/>
      <c r="G80" s="268"/>
      <c r="H80" s="268"/>
      <c r="I80" s="269"/>
      <c r="J80" s="270"/>
      <c r="K80" s="270"/>
      <c r="L80" s="137" t="str">
        <f t="shared" si="4"/>
        <v/>
      </c>
      <c r="M80" s="147"/>
      <c r="O80" s="1"/>
      <c r="P80" s="11"/>
      <c r="Q80" s="11" t="str">
        <f>ROUNDUP(A80/24,0)*1 &amp; " " &amp; R80 &amp; "                         (" &amp;ROUNDUP(A80/24,0)*24&amp;" " &amp; B80 &amp; ")"</f>
        <v>0 Rolle                         (0 kg)</v>
      </c>
      <c r="R80" s="11" t="str">
        <f>IF(A80&gt;21.24, Formeln!A128, Formeln!A127)</f>
        <v>Rolle</v>
      </c>
      <c r="T80" s="72">
        <v>507202</v>
      </c>
      <c r="U80" s="72">
        <v>507203</v>
      </c>
      <c r="V80" s="72">
        <v>507204</v>
      </c>
      <c r="W80" s="72">
        <v>507205</v>
      </c>
      <c r="X80" s="72">
        <v>507206</v>
      </c>
    </row>
    <row r="81" spans="1:39" ht="32.1" customHeight="1">
      <c r="A81" s="164"/>
      <c r="B81" s="137" t="str">
        <f>VLOOKUP("kg",Sprachindex!A:Z,Info!$O$6,FALSE)</f>
        <v>kg</v>
      </c>
      <c r="C81" s="146"/>
      <c r="D81" s="139" t="str">
        <f>IF(AND(I81=Formeln!A21,K81=Formeln!A134),T81,IF(AND(I81=Formeln!A21,K81=Formeln!A137),U81,IF(AND(I81=Formeln!A21,K81=Formeln!A139),V81,IF(AND(I81=Formeln!A21,K81=Formeln!A137),AE81,IF(AND(I81=Formeln!A21,K81=Formeln!A133),W81,IF(AND(I81=Formeln!A21,K81=Formeln!A141),X81,IF(AND(I81=Formeln!A21,K81=Formeln!A136),Y81,IF(AND(I81=Formeln!A21,K81=Formeln!A140),Z81,IF(AND(I81=Formeln!A21,K81=Formeln!A138),AA81,IF(AND(I81=Formeln!A21,K81=Formeln!A135),AB81,IF(AND(I81=Formeln!A21,K81=Formeln!A142),AC81,IF(AND(I81=Formeln!A22,K81=Formeln!A134),AD81,IF(AND(I81=Formeln!A22,K81=Formeln!A137),AE81,IF(AND(I81=Formeln!A22,K81=Formeln!A139),AF81,IF(AND(I81=Formeln!A22,K81=Formeln!A137),AE81,IF(AND(I81=Formeln!A22,K81=Formeln!A133),AG81,IF(AND(I81=Formeln!A22,K81=Formeln!A141),AH81,IF(AND(I81=Formeln!A22,K81=Formeln!A136),AI81,IF(AND(I81=Formeln!A22,K81=Formeln!A140),AJ81,IF(AND(I81=Formeln!A22,K81=Formeln!A138),AK81,IF(AND(I81=Formeln!A22,K81=Formeln!A135),AL81,IF(AND(I81=Formeln!A22,K81=Formeln!A142),AM81,0))))))))))))))))))))))</f>
        <v>040123</v>
      </c>
      <c r="E81" s="264" t="str">
        <f>VLOOKUP("PREFALZ Ergänzungsband 0,7x1.000 mm (für Zusatzverblechungen)",Sprachindex!A:Z,Info!$O$6,FALSE)</f>
        <v>PREFALZ Ergänzungsband 0,7x1.000 mm (für Zusatzverblechungen)</v>
      </c>
      <c r="F81" s="265"/>
      <c r="G81" s="265"/>
      <c r="H81" s="148" t="str">
        <f>VLOOKUP("Oberfläche:",Sprachindex!A:Z,Info!$O$6,FALSE)</f>
        <v>Oberfläche:</v>
      </c>
      <c r="I81" s="149" t="s">
        <v>84</v>
      </c>
      <c r="J81" s="145" t="str">
        <f>VLOOKUP("Farbe:",Sprachindex!A:Z,Info!$O$6,FALSE)</f>
        <v>Farbe:</v>
      </c>
      <c r="K81" s="149" t="s">
        <v>3540</v>
      </c>
      <c r="L81" s="137" t="str">
        <f t="shared" si="4"/>
        <v/>
      </c>
      <c r="M81" s="147"/>
      <c r="O81" s="1"/>
      <c r="P81" s="11"/>
      <c r="Q81" s="11" t="str">
        <f>ROUNDUP(A81/60,0)*1 &amp; " " &amp; R81 &amp; "                         (" &amp;ROUNDUP(A81/60,0)*60&amp;" " &amp; B81 &amp; ")"</f>
        <v>0 Rolle                         (0 kg)</v>
      </c>
      <c r="R81" s="11" t="str">
        <f>IF(A81&gt;60, Formeln!A128, Formeln!A127)</f>
        <v>Rolle</v>
      </c>
      <c r="T81" s="202" t="s">
        <v>3552</v>
      </c>
      <c r="U81" s="202" t="s">
        <v>3553</v>
      </c>
      <c r="V81" s="202" t="s">
        <v>3554</v>
      </c>
      <c r="W81" s="202" t="s">
        <v>3555</v>
      </c>
      <c r="X81" s="202" t="s">
        <v>3556</v>
      </c>
      <c r="Y81" s="202" t="s">
        <v>3557</v>
      </c>
      <c r="Z81" s="202" t="s">
        <v>3558</v>
      </c>
      <c r="AA81" s="202" t="s">
        <v>3559</v>
      </c>
      <c r="AB81" s="202" t="s">
        <v>3560</v>
      </c>
      <c r="AC81" s="202" t="s">
        <v>3561</v>
      </c>
      <c r="AD81" s="202" t="s">
        <v>3758</v>
      </c>
      <c r="AE81" s="202" t="s">
        <v>3759</v>
      </c>
      <c r="AF81" s="202" t="s">
        <v>3760</v>
      </c>
      <c r="AG81" s="202" t="s">
        <v>3761</v>
      </c>
      <c r="AH81" s="202" t="s">
        <v>3762</v>
      </c>
      <c r="AI81" s="202" t="s">
        <v>3763</v>
      </c>
      <c r="AJ81" s="202" t="s">
        <v>3764</v>
      </c>
      <c r="AK81" s="202" t="s">
        <v>3765</v>
      </c>
      <c r="AL81" s="202" t="s">
        <v>3766</v>
      </c>
      <c r="AM81" s="202" t="s">
        <v>3562</v>
      </c>
    </row>
    <row r="82" spans="1:39" ht="32.1" customHeight="1">
      <c r="A82" s="164"/>
      <c r="B82" s="173"/>
      <c r="C82" s="173"/>
      <c r="D82" s="173"/>
      <c r="E82" s="298"/>
      <c r="F82" s="299"/>
      <c r="G82" s="299"/>
      <c r="H82" s="299"/>
      <c r="I82" s="299"/>
      <c r="J82" s="299"/>
      <c r="K82" s="300"/>
      <c r="L82" s="173"/>
      <c r="M82" s="174"/>
      <c r="O82" s="1"/>
      <c r="P82" s="11"/>
      <c r="Q82" s="11" t="str">
        <f>ROUNDUP(A82/1,0)*1 &amp;" " &amp; VLOOKUP("Stk",Sprachindex!A:Z,Info!$O$6,FALSE)</f>
        <v>0 STK</v>
      </c>
    </row>
    <row r="83" spans="1:39" ht="32.1" customHeight="1">
      <c r="A83" s="164"/>
      <c r="B83" s="173"/>
      <c r="C83" s="173"/>
      <c r="D83" s="173"/>
      <c r="E83" s="298"/>
      <c r="F83" s="299"/>
      <c r="G83" s="299"/>
      <c r="H83" s="299"/>
      <c r="I83" s="299"/>
      <c r="J83" s="299"/>
      <c r="K83" s="300"/>
      <c r="L83" s="173"/>
      <c r="M83" s="174"/>
      <c r="O83" s="1"/>
      <c r="P83" s="11"/>
      <c r="Q83" s="11" t="str">
        <f>ROUNDUP(A83/1,0)*1 &amp;" " &amp; VLOOKUP("Stk",Sprachindex!A:Z,Info!$O$6,FALSE)</f>
        <v>0 STK</v>
      </c>
    </row>
    <row r="84" spans="1:39" ht="32.1" customHeight="1" thickBot="1">
      <c r="A84" s="175"/>
      <c r="B84" s="176"/>
      <c r="C84" s="176"/>
      <c r="D84" s="176"/>
      <c r="E84" s="301"/>
      <c r="F84" s="302"/>
      <c r="G84" s="302"/>
      <c r="H84" s="302"/>
      <c r="I84" s="302"/>
      <c r="J84" s="302"/>
      <c r="K84" s="303"/>
      <c r="L84" s="176"/>
      <c r="M84" s="177"/>
      <c r="O84" s="1"/>
      <c r="P84" s="11"/>
      <c r="Q84" s="11" t="str">
        <f>ROUNDUP(A84/1,0)*1 &amp;" " &amp; VLOOKUP("Stk",Sprachindex!A:Z,Info!$O$6,FALSE)</f>
        <v>0 STK</v>
      </c>
    </row>
    <row r="85" spans="1:39" ht="15" customHeight="1">
      <c r="A85" s="123"/>
      <c r="B85" s="123"/>
      <c r="C85" s="123"/>
      <c r="D85" s="280"/>
      <c r="E85" s="280"/>
      <c r="F85" s="280"/>
      <c r="G85" s="280"/>
      <c r="H85" s="280"/>
      <c r="I85" s="280"/>
      <c r="J85" s="280"/>
      <c r="K85" s="280"/>
      <c r="L85" s="280"/>
      <c r="M85" s="280"/>
    </row>
    <row r="86" spans="1:39" ht="16.899999999999999">
      <c r="A86" s="123"/>
      <c r="B86" s="123"/>
      <c r="C86" s="153" t="str">
        <f>VLOOKUP("Zusatzvermerk:",Sprachindex!A:Z,Info!$O$6,FALSE)</f>
        <v>Zusatzvermerk:</v>
      </c>
      <c r="D86" s="279"/>
      <c r="E86" s="279"/>
      <c r="F86" s="279"/>
      <c r="G86" s="279"/>
      <c r="H86" s="279"/>
      <c r="I86" s="279"/>
      <c r="J86" s="279"/>
      <c r="K86" s="279"/>
      <c r="L86" s="279"/>
      <c r="M86" s="279"/>
    </row>
    <row r="87" spans="1:39" ht="16.899999999999999">
      <c r="A87" s="123"/>
      <c r="B87" s="123"/>
      <c r="C87" s="123"/>
      <c r="D87" s="278"/>
      <c r="E87" s="278"/>
      <c r="F87" s="278"/>
      <c r="G87" s="278"/>
      <c r="H87" s="278"/>
      <c r="I87" s="278"/>
      <c r="J87" s="278"/>
      <c r="K87" s="278"/>
      <c r="L87" s="278"/>
      <c r="M87" s="278"/>
    </row>
    <row r="88" spans="1:39" ht="16.899999999999999">
      <c r="A88" s="123"/>
      <c r="B88" s="123"/>
      <c r="C88" s="123"/>
      <c r="D88" s="279"/>
      <c r="E88" s="279"/>
      <c r="F88" s="279"/>
      <c r="G88" s="279"/>
      <c r="H88" s="279"/>
      <c r="I88" s="279"/>
      <c r="J88" s="279"/>
      <c r="K88" s="279"/>
      <c r="L88" s="279"/>
      <c r="M88" s="279"/>
    </row>
    <row r="89" spans="1:39" ht="16.899999999999999">
      <c r="A89" s="123"/>
      <c r="B89" s="123"/>
      <c r="C89" s="123"/>
      <c r="D89" s="278"/>
      <c r="E89" s="278"/>
      <c r="F89" s="278"/>
      <c r="G89" s="278"/>
      <c r="H89" s="278"/>
      <c r="I89" s="278"/>
      <c r="J89" s="278"/>
      <c r="K89" s="278"/>
      <c r="L89" s="278"/>
      <c r="M89" s="278"/>
    </row>
    <row r="90" spans="1:39" ht="16.899999999999999">
      <c r="A90" s="123"/>
      <c r="B90" s="123"/>
      <c r="C90" s="123"/>
      <c r="D90" s="279"/>
      <c r="E90" s="279"/>
      <c r="F90" s="279"/>
      <c r="G90" s="279"/>
      <c r="H90" s="279"/>
      <c r="I90" s="279"/>
      <c r="J90" s="279"/>
      <c r="K90" s="279"/>
      <c r="L90" s="279"/>
      <c r="M90" s="279"/>
    </row>
    <row r="91" spans="1:39" ht="16.899999999999999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</row>
    <row r="92" spans="1:39" ht="16.899999999999999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</row>
    <row r="93" spans="1:39" ht="16.899999999999999">
      <c r="A93" s="154" t="str">
        <f>VLOOKUP("Anwendungstechnik",Sprachindex!A:Z,Info!$O$6,FALSE)</f>
        <v>Anwendungstechnik</v>
      </c>
      <c r="B93" s="155"/>
      <c r="C93" s="155"/>
      <c r="D93" s="263"/>
      <c r="E93" s="263"/>
      <c r="F93" s="263"/>
      <c r="G93" s="263"/>
      <c r="H93" s="263"/>
      <c r="I93" s="263"/>
      <c r="J93" s="263"/>
      <c r="K93" s="156" t="str">
        <f>VLOOKUP("Stand:",Sprachindex!A:Z,Info!$O$6,FALSE)</f>
        <v>Stand:</v>
      </c>
      <c r="L93" s="281">
        <v>43182</v>
      </c>
      <c r="M93" s="282"/>
      <c r="O93" s="12" t="str">
        <f>VLOOKUP("Vielen Dank für Ihre Mengenermittlung",Sprachindex!A:Z,Info!$O$6,FALSE)</f>
        <v>Vielen Dank für Ihre Mengenermittlung</v>
      </c>
    </row>
    <row r="94" spans="1:39" ht="13.5"/>
    <row r="95" spans="1:39" ht="13.5" hidden="1"/>
    <row r="96" spans="1:39" ht="13.5" hidden="1"/>
    <row r="97" ht="13.5" hidden="1"/>
    <row r="98" ht="13.5" hidden="1"/>
    <row r="99" ht="13.5" hidden="1"/>
    <row r="100" ht="13.5" hidden="1"/>
    <row r="101" ht="13.5" hidden="1"/>
    <row r="102" ht="14.25" hidden="1" customHeight="1"/>
    <row r="103" ht="14.25" hidden="1" customHeight="1"/>
    <row r="104" ht="14.25" hidden="1" customHeight="1"/>
  </sheetData>
  <sheetProtection algorithmName="SHA-512" hashValue="v89RikIhQW1kXjL+VWpg5J1eIDwx7HWzEzhiHc5JrseovhdWxX11YtOlHHT+UlIfXlUYRCotRwjI5tLzUIMdbQ==" saltValue="0sPh2fQB0F+OjderbK54+A==" spinCount="100000" sheet="1" objects="1" scenarios="1" selectLockedCells="1" autoFilter="0"/>
  <protectedRanges>
    <protectedRange password="DEBF" sqref="Q26" name="darf vom Benutzer nicht verändert werden_1"/>
    <protectedRange password="DEBF" sqref="P26" name="darf vom Benutzer nicht verändert werden_1_5_2_1"/>
    <protectedRange password="DEBF" sqref="Q27" name="darf vom Benutzer nicht verändert werden_1_4"/>
    <protectedRange password="DEBF" sqref="P27" name="darf vom Benutzer nicht verändert werden_1_5_2_4"/>
    <protectedRange password="DEBF" sqref="P28:Q28" name="darf vom Benutzer nicht verändert werden_1_5_2_5"/>
    <protectedRange password="DEBF" sqref="P80:Q81" name="darf vom Benutzer nicht verändert werden_1_5"/>
    <protectedRange password="DEBF" sqref="P78" name="darf vom Benutzer nicht verändert werden_1_5_2_6"/>
    <protectedRange password="DEBF" sqref="R80:R81" name="darf vom Benutzer nicht verändert werden_1_12"/>
    <protectedRange password="DEBF" sqref="P29:Q41" name="darf vom Benutzer nicht verändert werden_1_5_3"/>
    <protectedRange password="DEBF" sqref="P42:Q53" name="darf vom Benutzer nicht verändert werden_1_5_4"/>
    <protectedRange password="DEBF" sqref="P54:Q60" name="darf vom Benutzer nicht verändert werden_1_5_5"/>
    <protectedRange password="DEBF" sqref="P61:Q77 Q78" name="darf vom Benutzer nicht verändert werden_1_5_7"/>
    <protectedRange password="DEBF" sqref="P79:Q79" name="darf vom Benutzer nicht verändert werden_1_5_9"/>
    <protectedRange password="DEBF" sqref="P82:Q84" name="darf vom Benutzer nicht verändert werden_1_5_10"/>
  </protectedRanges>
  <autoFilter ref="A22:A84"/>
  <mergeCells count="89">
    <mergeCell ref="C10:E10"/>
    <mergeCell ref="C8:E8"/>
    <mergeCell ref="C9:E9"/>
    <mergeCell ref="E26:K26"/>
    <mergeCell ref="C12:E12"/>
    <mergeCell ref="C13:E13"/>
    <mergeCell ref="C14:E14"/>
    <mergeCell ref="C17:E17"/>
    <mergeCell ref="C18:E18"/>
    <mergeCell ref="C19:E19"/>
    <mergeCell ref="C20:E20"/>
    <mergeCell ref="B22:E22"/>
    <mergeCell ref="E23:K23"/>
    <mergeCell ref="E24:K24"/>
    <mergeCell ref="E25:K25"/>
    <mergeCell ref="E36:K36"/>
    <mergeCell ref="E27:G27"/>
    <mergeCell ref="H27:K27"/>
    <mergeCell ref="E28:G28"/>
    <mergeCell ref="H28:K28"/>
    <mergeCell ref="E29:K29"/>
    <mergeCell ref="E30:G30"/>
    <mergeCell ref="H30:K30"/>
    <mergeCell ref="E31:K31"/>
    <mergeCell ref="E32:K32"/>
    <mergeCell ref="E33:K33"/>
    <mergeCell ref="E34:K34"/>
    <mergeCell ref="E35:K35"/>
    <mergeCell ref="E37:K37"/>
    <mergeCell ref="E38:K38"/>
    <mergeCell ref="E39:G39"/>
    <mergeCell ref="H39:K39"/>
    <mergeCell ref="E40:G40"/>
    <mergeCell ref="H40:K40"/>
    <mergeCell ref="E46:K46"/>
    <mergeCell ref="E41:K41"/>
    <mergeCell ref="E42:H42"/>
    <mergeCell ref="E43:H43"/>
    <mergeCell ref="J43:K43"/>
    <mergeCell ref="E44:H44"/>
    <mergeCell ref="J44:K44"/>
    <mergeCell ref="E45:K45"/>
    <mergeCell ref="E69:K69"/>
    <mergeCell ref="E75:K75"/>
    <mergeCell ref="E76:K76"/>
    <mergeCell ref="E58:K58"/>
    <mergeCell ref="E47:K47"/>
    <mergeCell ref="E48:K48"/>
    <mergeCell ref="E49:K49"/>
    <mergeCell ref="E50:K50"/>
    <mergeCell ref="E51:K51"/>
    <mergeCell ref="E52:K52"/>
    <mergeCell ref="E53:K53"/>
    <mergeCell ref="E54:K54"/>
    <mergeCell ref="E55:K55"/>
    <mergeCell ref="E56:K56"/>
    <mergeCell ref="E57:K57"/>
    <mergeCell ref="K4:M4"/>
    <mergeCell ref="K5:M5"/>
    <mergeCell ref="K6:M6"/>
    <mergeCell ref="E80:H80"/>
    <mergeCell ref="I80:K80"/>
    <mergeCell ref="E70:K70"/>
    <mergeCell ref="E59:K59"/>
    <mergeCell ref="E60:K60"/>
    <mergeCell ref="E61:K61"/>
    <mergeCell ref="E62:K62"/>
    <mergeCell ref="E63:K63"/>
    <mergeCell ref="E64:K64"/>
    <mergeCell ref="E65:K65"/>
    <mergeCell ref="E66:K66"/>
    <mergeCell ref="E67:K67"/>
    <mergeCell ref="E68:K68"/>
    <mergeCell ref="D93:J93"/>
    <mergeCell ref="E82:K82"/>
    <mergeCell ref="E83:K83"/>
    <mergeCell ref="E84:K84"/>
    <mergeCell ref="D89:M90"/>
    <mergeCell ref="D87:M88"/>
    <mergeCell ref="D85:M86"/>
    <mergeCell ref="L93:M93"/>
    <mergeCell ref="E81:G81"/>
    <mergeCell ref="E71:K71"/>
    <mergeCell ref="E72:K72"/>
    <mergeCell ref="E73:K73"/>
    <mergeCell ref="E74:K74"/>
    <mergeCell ref="E77:K77"/>
    <mergeCell ref="E78:K78"/>
    <mergeCell ref="E79:K79"/>
  </mergeCells>
  <conditionalFormatting sqref="J20:K20">
    <cfRule type="expression" dxfId="588" priority="444">
      <formula>$N$20=10</formula>
    </cfRule>
  </conditionalFormatting>
  <conditionalFormatting sqref="I20:I21">
    <cfRule type="expression" dxfId="587" priority="445">
      <formula>$N$20=10</formula>
    </cfRule>
  </conditionalFormatting>
  <conditionalFormatting sqref="C8:E8">
    <cfRule type="cellIs" dxfId="586" priority="429" operator="equal">
      <formula>""</formula>
    </cfRule>
  </conditionalFormatting>
  <conditionalFormatting sqref="C9:E9">
    <cfRule type="cellIs" dxfId="585" priority="428" operator="equal">
      <formula>""</formula>
    </cfRule>
  </conditionalFormatting>
  <conditionalFormatting sqref="C10:E10">
    <cfRule type="cellIs" dxfId="584" priority="427" operator="equal">
      <formula>""</formula>
    </cfRule>
  </conditionalFormatting>
  <conditionalFormatting sqref="C12:E12">
    <cfRule type="cellIs" dxfId="583" priority="426" operator="equal">
      <formula>""</formula>
    </cfRule>
  </conditionalFormatting>
  <conditionalFormatting sqref="C13:E13">
    <cfRule type="cellIs" dxfId="582" priority="425" operator="equal">
      <formula>""</formula>
    </cfRule>
  </conditionalFormatting>
  <conditionalFormatting sqref="C14:E14">
    <cfRule type="cellIs" dxfId="581" priority="424" operator="equal">
      <formula>""</formula>
    </cfRule>
  </conditionalFormatting>
  <conditionalFormatting sqref="C17:E17">
    <cfRule type="cellIs" dxfId="580" priority="423" operator="equal">
      <formula>""</formula>
    </cfRule>
  </conditionalFormatting>
  <conditionalFormatting sqref="C18:E18">
    <cfRule type="cellIs" dxfId="579" priority="422" operator="equal">
      <formula>""</formula>
    </cfRule>
  </conditionalFormatting>
  <conditionalFormatting sqref="C19:E19">
    <cfRule type="cellIs" dxfId="578" priority="421" operator="equal">
      <formula>""</formula>
    </cfRule>
  </conditionalFormatting>
  <conditionalFormatting sqref="C20:E20">
    <cfRule type="cellIs" dxfId="577" priority="420" operator="equal">
      <formula>""</formula>
    </cfRule>
  </conditionalFormatting>
  <conditionalFormatting sqref="K4">
    <cfRule type="cellIs" dxfId="576" priority="419" operator="equal">
      <formula>""</formula>
    </cfRule>
  </conditionalFormatting>
  <conditionalFormatting sqref="K5">
    <cfRule type="cellIs" dxfId="575" priority="418" operator="equal">
      <formula>""</formula>
    </cfRule>
  </conditionalFormatting>
  <conditionalFormatting sqref="K6">
    <cfRule type="cellIs" dxfId="574" priority="417" operator="equal">
      <formula>""</formula>
    </cfRule>
  </conditionalFormatting>
  <conditionalFormatting sqref="A24">
    <cfRule type="cellIs" dxfId="573" priority="416" operator="equal">
      <formula>""</formula>
    </cfRule>
  </conditionalFormatting>
  <conditionalFormatting sqref="A25">
    <cfRule type="cellIs" dxfId="572" priority="415" operator="equal">
      <formula>""</formula>
    </cfRule>
  </conditionalFormatting>
  <conditionalFormatting sqref="A26">
    <cfRule type="cellIs" dxfId="571" priority="414" operator="equal">
      <formula>""</formula>
    </cfRule>
  </conditionalFormatting>
  <conditionalFormatting sqref="A27">
    <cfRule type="cellIs" dxfId="570" priority="413" operator="equal">
      <formula>""</formula>
    </cfRule>
  </conditionalFormatting>
  <conditionalFormatting sqref="A28">
    <cfRule type="cellIs" dxfId="569" priority="412" operator="equal">
      <formula>""</formula>
    </cfRule>
  </conditionalFormatting>
  <conditionalFormatting sqref="A29">
    <cfRule type="cellIs" dxfId="568" priority="411" operator="equal">
      <formula>""</formula>
    </cfRule>
  </conditionalFormatting>
  <conditionalFormatting sqref="A30">
    <cfRule type="cellIs" dxfId="567" priority="410" operator="equal">
      <formula>""</formula>
    </cfRule>
  </conditionalFormatting>
  <conditionalFormatting sqref="A31">
    <cfRule type="cellIs" dxfId="566" priority="409" operator="equal">
      <formula>""</formula>
    </cfRule>
  </conditionalFormatting>
  <conditionalFormatting sqref="A32">
    <cfRule type="cellIs" dxfId="565" priority="408" operator="equal">
      <formula>""</formula>
    </cfRule>
  </conditionalFormatting>
  <conditionalFormatting sqref="A33">
    <cfRule type="cellIs" dxfId="564" priority="407" operator="equal">
      <formula>""</formula>
    </cfRule>
  </conditionalFormatting>
  <conditionalFormatting sqref="A34">
    <cfRule type="cellIs" dxfId="563" priority="406" operator="equal">
      <formula>""</formula>
    </cfRule>
  </conditionalFormatting>
  <conditionalFormatting sqref="A35">
    <cfRule type="cellIs" dxfId="562" priority="405" operator="equal">
      <formula>""</formula>
    </cfRule>
  </conditionalFormatting>
  <conditionalFormatting sqref="A36">
    <cfRule type="cellIs" dxfId="561" priority="404" operator="equal">
      <formula>""</formula>
    </cfRule>
  </conditionalFormatting>
  <conditionalFormatting sqref="A37">
    <cfRule type="cellIs" dxfId="560" priority="403" operator="equal">
      <formula>""</formula>
    </cfRule>
  </conditionalFormatting>
  <conditionalFormatting sqref="A38">
    <cfRule type="cellIs" dxfId="559" priority="402" operator="equal">
      <formula>""</formula>
    </cfRule>
  </conditionalFormatting>
  <conditionalFormatting sqref="A39">
    <cfRule type="cellIs" dxfId="558" priority="401" operator="equal">
      <formula>""</formula>
    </cfRule>
  </conditionalFormatting>
  <conditionalFormatting sqref="A40">
    <cfRule type="cellIs" dxfId="557" priority="400" operator="equal">
      <formula>""</formula>
    </cfRule>
  </conditionalFormatting>
  <conditionalFormatting sqref="A41">
    <cfRule type="cellIs" dxfId="556" priority="399" operator="equal">
      <formula>""</formula>
    </cfRule>
  </conditionalFormatting>
  <conditionalFormatting sqref="A42">
    <cfRule type="cellIs" dxfId="555" priority="398" operator="equal">
      <formula>""</formula>
    </cfRule>
  </conditionalFormatting>
  <conditionalFormatting sqref="A43">
    <cfRule type="cellIs" dxfId="554" priority="396" operator="equal">
      <formula>""</formula>
    </cfRule>
  </conditionalFormatting>
  <conditionalFormatting sqref="A44">
    <cfRule type="cellIs" dxfId="553" priority="394" operator="equal">
      <formula>""</formula>
    </cfRule>
  </conditionalFormatting>
  <conditionalFormatting sqref="A45">
    <cfRule type="cellIs" dxfId="552" priority="393" operator="equal">
      <formula>""</formula>
    </cfRule>
  </conditionalFormatting>
  <conditionalFormatting sqref="A46">
    <cfRule type="cellIs" dxfId="551" priority="392" operator="equal">
      <formula>""</formula>
    </cfRule>
  </conditionalFormatting>
  <conditionalFormatting sqref="A47">
    <cfRule type="cellIs" dxfId="550" priority="391" operator="equal">
      <formula>""</formula>
    </cfRule>
  </conditionalFormatting>
  <conditionalFormatting sqref="A48">
    <cfRule type="cellIs" dxfId="549" priority="390" operator="equal">
      <formula>""</formula>
    </cfRule>
  </conditionalFormatting>
  <conditionalFormatting sqref="A49">
    <cfRule type="cellIs" dxfId="548" priority="389" operator="equal">
      <formula>""</formula>
    </cfRule>
  </conditionalFormatting>
  <conditionalFormatting sqref="A50">
    <cfRule type="cellIs" dxfId="547" priority="388" operator="equal">
      <formula>""</formula>
    </cfRule>
  </conditionalFormatting>
  <conditionalFormatting sqref="A51">
    <cfRule type="cellIs" dxfId="546" priority="387" operator="equal">
      <formula>""</formula>
    </cfRule>
  </conditionalFormatting>
  <conditionalFormatting sqref="A52">
    <cfRule type="cellIs" dxfId="545" priority="386" operator="equal">
      <formula>""</formula>
    </cfRule>
  </conditionalFormatting>
  <conditionalFormatting sqref="A53">
    <cfRule type="cellIs" dxfId="544" priority="385" operator="equal">
      <formula>""</formula>
    </cfRule>
  </conditionalFormatting>
  <conditionalFormatting sqref="A55">
    <cfRule type="cellIs" dxfId="543" priority="384" operator="equal">
      <formula>""</formula>
    </cfRule>
  </conditionalFormatting>
  <conditionalFormatting sqref="A54">
    <cfRule type="cellIs" dxfId="542" priority="383" operator="equal">
      <formula>""</formula>
    </cfRule>
  </conditionalFormatting>
  <conditionalFormatting sqref="A56">
    <cfRule type="cellIs" dxfId="541" priority="382" operator="equal">
      <formula>""</formula>
    </cfRule>
  </conditionalFormatting>
  <conditionalFormatting sqref="A57">
    <cfRule type="cellIs" dxfId="540" priority="381" operator="equal">
      <formula>""</formula>
    </cfRule>
  </conditionalFormatting>
  <conditionalFormatting sqref="A58">
    <cfRule type="cellIs" dxfId="539" priority="380" operator="equal">
      <formula>""</formula>
    </cfRule>
  </conditionalFormatting>
  <conditionalFormatting sqref="A59">
    <cfRule type="cellIs" dxfId="538" priority="379" operator="equal">
      <formula>""</formula>
    </cfRule>
  </conditionalFormatting>
  <conditionalFormatting sqref="A60">
    <cfRule type="cellIs" dxfId="537" priority="378" operator="equal">
      <formula>""</formula>
    </cfRule>
  </conditionalFormatting>
  <conditionalFormatting sqref="A61">
    <cfRule type="cellIs" dxfId="536" priority="377" operator="equal">
      <formula>""</formula>
    </cfRule>
  </conditionalFormatting>
  <conditionalFormatting sqref="A62">
    <cfRule type="cellIs" dxfId="535" priority="376" operator="equal">
      <formula>""</formula>
    </cfRule>
  </conditionalFormatting>
  <conditionalFormatting sqref="A63">
    <cfRule type="cellIs" dxfId="534" priority="375" operator="equal">
      <formula>""</formula>
    </cfRule>
  </conditionalFormatting>
  <conditionalFormatting sqref="A64">
    <cfRule type="cellIs" dxfId="533" priority="374" operator="equal">
      <formula>""</formula>
    </cfRule>
  </conditionalFormatting>
  <conditionalFormatting sqref="A65">
    <cfRule type="cellIs" dxfId="532" priority="373" operator="equal">
      <formula>""</formula>
    </cfRule>
  </conditionalFormatting>
  <conditionalFormatting sqref="A66">
    <cfRule type="cellIs" dxfId="531" priority="372" operator="equal">
      <formula>""</formula>
    </cfRule>
  </conditionalFormatting>
  <conditionalFormatting sqref="A68">
    <cfRule type="cellIs" dxfId="530" priority="371" operator="equal">
      <formula>""</formula>
    </cfRule>
  </conditionalFormatting>
  <conditionalFormatting sqref="A67">
    <cfRule type="cellIs" dxfId="529" priority="370" operator="equal">
      <formula>""</formula>
    </cfRule>
  </conditionalFormatting>
  <conditionalFormatting sqref="A69">
    <cfRule type="cellIs" dxfId="528" priority="369" operator="equal">
      <formula>""</formula>
    </cfRule>
  </conditionalFormatting>
  <conditionalFormatting sqref="A71">
    <cfRule type="cellIs" dxfId="527" priority="368" operator="equal">
      <formula>""</formula>
    </cfRule>
  </conditionalFormatting>
  <conditionalFormatting sqref="A70">
    <cfRule type="cellIs" dxfId="526" priority="367" operator="equal">
      <formula>""</formula>
    </cfRule>
  </conditionalFormatting>
  <conditionalFormatting sqref="A72">
    <cfRule type="cellIs" dxfId="525" priority="366" operator="equal">
      <formula>""</formula>
    </cfRule>
  </conditionalFormatting>
  <conditionalFormatting sqref="A73">
    <cfRule type="cellIs" dxfId="524" priority="365" operator="equal">
      <formula>""</formula>
    </cfRule>
  </conditionalFormatting>
  <conditionalFormatting sqref="A74">
    <cfRule type="cellIs" dxfId="523" priority="364" operator="equal">
      <formula>""</formula>
    </cfRule>
  </conditionalFormatting>
  <conditionalFormatting sqref="A75">
    <cfRule type="cellIs" dxfId="522" priority="363" operator="equal">
      <formula>""</formula>
    </cfRule>
  </conditionalFormatting>
  <conditionalFormatting sqref="A76">
    <cfRule type="cellIs" dxfId="521" priority="362" operator="equal">
      <formula>""</formula>
    </cfRule>
  </conditionalFormatting>
  <conditionalFormatting sqref="A77">
    <cfRule type="cellIs" dxfId="520" priority="361" operator="equal">
      <formula>""</formula>
    </cfRule>
  </conditionalFormatting>
  <conditionalFormatting sqref="A78">
    <cfRule type="cellIs" dxfId="519" priority="360" operator="equal">
      <formula>""</formula>
    </cfRule>
  </conditionalFormatting>
  <conditionalFormatting sqref="A79">
    <cfRule type="cellIs" dxfId="518" priority="359" operator="equal">
      <formula>""</formula>
    </cfRule>
  </conditionalFormatting>
  <conditionalFormatting sqref="A80">
    <cfRule type="cellIs" dxfId="517" priority="358" operator="equal">
      <formula>""</formula>
    </cfRule>
  </conditionalFormatting>
  <conditionalFormatting sqref="A81">
    <cfRule type="cellIs" dxfId="516" priority="357" operator="equal">
      <formula>""</formula>
    </cfRule>
  </conditionalFormatting>
  <conditionalFormatting sqref="A82">
    <cfRule type="cellIs" dxfId="515" priority="353" operator="equal">
      <formula>""</formula>
    </cfRule>
  </conditionalFormatting>
  <conditionalFormatting sqref="A83">
    <cfRule type="cellIs" dxfId="514" priority="352" operator="equal">
      <formula>""</formula>
    </cfRule>
  </conditionalFormatting>
  <conditionalFormatting sqref="A84">
    <cfRule type="cellIs" dxfId="513" priority="351" operator="equal">
      <formula>""</formula>
    </cfRule>
  </conditionalFormatting>
  <conditionalFormatting sqref="B83">
    <cfRule type="cellIs" dxfId="512" priority="350" operator="equal">
      <formula>""</formula>
    </cfRule>
  </conditionalFormatting>
  <conditionalFormatting sqref="B82">
    <cfRule type="cellIs" dxfId="511" priority="349" operator="equal">
      <formula>""</formula>
    </cfRule>
  </conditionalFormatting>
  <conditionalFormatting sqref="B84">
    <cfRule type="cellIs" dxfId="510" priority="348" operator="equal">
      <formula>""</formula>
    </cfRule>
  </conditionalFormatting>
  <conditionalFormatting sqref="C84">
    <cfRule type="cellIs" dxfId="509" priority="347" operator="equal">
      <formula>""</formula>
    </cfRule>
  </conditionalFormatting>
  <conditionalFormatting sqref="C83">
    <cfRule type="cellIs" dxfId="508" priority="346" operator="equal">
      <formula>""</formula>
    </cfRule>
  </conditionalFormatting>
  <conditionalFormatting sqref="C82">
    <cfRule type="cellIs" dxfId="507" priority="345" operator="equal">
      <formula>""</formula>
    </cfRule>
  </conditionalFormatting>
  <conditionalFormatting sqref="E82">
    <cfRule type="cellIs" dxfId="506" priority="344" operator="equal">
      <formula>""</formula>
    </cfRule>
  </conditionalFormatting>
  <conditionalFormatting sqref="E83">
    <cfRule type="cellIs" dxfId="505" priority="343" operator="equal">
      <formula>""</formula>
    </cfRule>
  </conditionalFormatting>
  <conditionalFormatting sqref="E84">
    <cfRule type="cellIs" dxfId="504" priority="342" operator="equal">
      <formula>""</formula>
    </cfRule>
  </conditionalFormatting>
  <conditionalFormatting sqref="L84">
    <cfRule type="cellIs" dxfId="503" priority="341" operator="equal">
      <formula>""</formula>
    </cfRule>
  </conditionalFormatting>
  <conditionalFormatting sqref="L83">
    <cfRule type="cellIs" dxfId="502" priority="340" operator="equal">
      <formula>""</formula>
    </cfRule>
  </conditionalFormatting>
  <conditionalFormatting sqref="L82">
    <cfRule type="cellIs" dxfId="501" priority="339" operator="equal">
      <formula>""</formula>
    </cfRule>
  </conditionalFormatting>
  <conditionalFormatting sqref="M82">
    <cfRule type="cellIs" dxfId="500" priority="338" operator="equal">
      <formula>""</formula>
    </cfRule>
  </conditionalFormatting>
  <conditionalFormatting sqref="M83">
    <cfRule type="cellIs" dxfId="499" priority="337" operator="equal">
      <formula>""</formula>
    </cfRule>
  </conditionalFormatting>
  <conditionalFormatting sqref="M84">
    <cfRule type="cellIs" dxfId="498" priority="336" operator="equal">
      <formula>""</formula>
    </cfRule>
  </conditionalFormatting>
  <conditionalFormatting sqref="D84">
    <cfRule type="cellIs" dxfId="497" priority="296" operator="equal">
      <formula>""</formula>
    </cfRule>
  </conditionalFormatting>
  <conditionalFormatting sqref="D83">
    <cfRule type="cellIs" dxfId="496" priority="295" operator="equal">
      <formula>""</formula>
    </cfRule>
  </conditionalFormatting>
  <conditionalFormatting sqref="D82">
    <cfRule type="cellIs" dxfId="495" priority="294" operator="equal">
      <formula>""</formula>
    </cfRule>
  </conditionalFormatting>
  <conditionalFormatting sqref="T25:AC25">
    <cfRule type="duplicateValues" dxfId="494" priority="1398"/>
  </conditionalFormatting>
  <conditionalFormatting sqref="T24:AC24">
    <cfRule type="duplicateValues" dxfId="493" priority="1399"/>
  </conditionalFormatting>
  <conditionalFormatting sqref="Y29:AC29 T29:W29">
    <cfRule type="duplicateValues" dxfId="492" priority="288"/>
  </conditionalFormatting>
  <conditionalFormatting sqref="D42">
    <cfRule type="duplicateValues" dxfId="491" priority="287"/>
  </conditionalFormatting>
  <conditionalFormatting sqref="D51">
    <cfRule type="duplicateValues" dxfId="490" priority="286"/>
  </conditionalFormatting>
  <conditionalFormatting sqref="D52">
    <cfRule type="duplicateValues" dxfId="489" priority="285"/>
  </conditionalFormatting>
  <conditionalFormatting sqref="T45:AC45">
    <cfRule type="duplicateValues" dxfId="488" priority="181"/>
  </conditionalFormatting>
  <conditionalFormatting sqref="T46:AC46">
    <cfRule type="duplicateValues" dxfId="487" priority="180"/>
  </conditionalFormatting>
  <conditionalFormatting sqref="T47:AC47">
    <cfRule type="duplicateValues" dxfId="486" priority="179"/>
  </conditionalFormatting>
  <conditionalFormatting sqref="T48:AB48">
    <cfRule type="duplicateValues" dxfId="485" priority="178"/>
  </conditionalFormatting>
  <conditionalFormatting sqref="AC48">
    <cfRule type="duplicateValues" dxfId="484" priority="177"/>
  </conditionalFormatting>
  <conditionalFormatting sqref="T49:AB49">
    <cfRule type="duplicateValues" dxfId="483" priority="176"/>
  </conditionalFormatting>
  <conditionalFormatting sqref="AC49">
    <cfRule type="duplicateValues" dxfId="482" priority="175"/>
  </conditionalFormatting>
  <conditionalFormatting sqref="T50:AB50">
    <cfRule type="duplicateValues" dxfId="481" priority="174"/>
  </conditionalFormatting>
  <conditionalFormatting sqref="AC50">
    <cfRule type="duplicateValues" dxfId="480" priority="173"/>
  </conditionalFormatting>
  <conditionalFormatting sqref="T53:AC53">
    <cfRule type="duplicateValues" dxfId="479" priority="172"/>
  </conditionalFormatting>
  <conditionalFormatting sqref="T55:AC55">
    <cfRule type="duplicateValues" dxfId="478" priority="169"/>
  </conditionalFormatting>
  <conditionalFormatting sqref="T56:AC56">
    <cfRule type="duplicateValues" dxfId="477" priority="168"/>
  </conditionalFormatting>
  <conditionalFormatting sqref="T57:AB57">
    <cfRule type="duplicateValues" dxfId="476" priority="167"/>
  </conditionalFormatting>
  <conditionalFormatting sqref="AC57">
    <cfRule type="duplicateValues" dxfId="475" priority="166"/>
  </conditionalFormatting>
  <conditionalFormatting sqref="AC58">
    <cfRule type="duplicateValues" dxfId="474" priority="165"/>
  </conditionalFormatting>
  <conditionalFormatting sqref="T58:AB58">
    <cfRule type="duplicateValues" dxfId="473" priority="164"/>
  </conditionalFormatting>
  <conditionalFormatting sqref="T39">
    <cfRule type="duplicateValues" dxfId="472" priority="160"/>
  </conditionalFormatting>
  <conditionalFormatting sqref="Y39">
    <cfRule type="duplicateValues" dxfId="471" priority="159"/>
  </conditionalFormatting>
  <conditionalFormatting sqref="V39">
    <cfRule type="duplicateValues" dxfId="470" priority="158"/>
  </conditionalFormatting>
  <conditionalFormatting sqref="U39">
    <cfRule type="duplicateValues" dxfId="469" priority="157"/>
  </conditionalFormatting>
  <conditionalFormatting sqref="AA39">
    <cfRule type="duplicateValues" dxfId="468" priority="156"/>
  </conditionalFormatting>
  <conditionalFormatting sqref="Z39">
    <cfRule type="duplicateValues" dxfId="467" priority="155"/>
  </conditionalFormatting>
  <conditionalFormatting sqref="W39">
    <cfRule type="duplicateValues" dxfId="466" priority="154"/>
  </conditionalFormatting>
  <conditionalFormatting sqref="AC39">
    <cfRule type="duplicateValues" dxfId="465" priority="153"/>
  </conditionalFormatting>
  <conditionalFormatting sqref="T32:AB32 AD32:AL32">
    <cfRule type="duplicateValues" dxfId="464" priority="147"/>
  </conditionalFormatting>
  <conditionalFormatting sqref="AC32">
    <cfRule type="duplicateValues" dxfId="463" priority="146"/>
  </conditionalFormatting>
  <conditionalFormatting sqref="AD33:AL33 T33:AB33">
    <cfRule type="duplicateValues" dxfId="462" priority="148"/>
  </conditionalFormatting>
  <conditionalFormatting sqref="T34:AL34">
    <cfRule type="duplicateValues" dxfId="461" priority="149"/>
  </conditionalFormatting>
  <conditionalFormatting sqref="T35:AM35">
    <cfRule type="duplicateValues" dxfId="460" priority="150"/>
  </conditionalFormatting>
  <conditionalFormatting sqref="AD37:AM37">
    <cfRule type="duplicateValues" dxfId="459" priority="145"/>
  </conditionalFormatting>
  <conditionalFormatting sqref="T37:AC37">
    <cfRule type="duplicateValues" dxfId="458" priority="151"/>
  </conditionalFormatting>
  <conditionalFormatting sqref="AD38:AL38">
    <cfRule type="duplicateValues" dxfId="457" priority="144"/>
  </conditionalFormatting>
  <conditionalFormatting sqref="AC38">
    <cfRule type="duplicateValues" dxfId="456" priority="143"/>
  </conditionalFormatting>
  <conditionalFormatting sqref="AM38">
    <cfRule type="duplicateValues" dxfId="455" priority="142"/>
  </conditionalFormatting>
  <conditionalFormatting sqref="T38:AB38">
    <cfRule type="duplicateValues" dxfId="454" priority="152"/>
  </conditionalFormatting>
  <conditionalFormatting sqref="T40">
    <cfRule type="duplicateValues" dxfId="453" priority="141"/>
  </conditionalFormatting>
  <conditionalFormatting sqref="W40">
    <cfRule type="duplicateValues" dxfId="452" priority="140"/>
  </conditionalFormatting>
  <conditionalFormatting sqref="V40">
    <cfRule type="duplicateValues" dxfId="451" priority="139"/>
  </conditionalFormatting>
  <conditionalFormatting sqref="U40">
    <cfRule type="duplicateValues" dxfId="450" priority="138"/>
  </conditionalFormatting>
  <conditionalFormatting sqref="Y40">
    <cfRule type="duplicateValues" dxfId="449" priority="137"/>
  </conditionalFormatting>
  <conditionalFormatting sqref="AA40">
    <cfRule type="duplicateValues" dxfId="448" priority="136"/>
  </conditionalFormatting>
  <conditionalFormatting sqref="Z40">
    <cfRule type="duplicateValues" dxfId="447" priority="135"/>
  </conditionalFormatting>
  <conditionalFormatting sqref="AC40">
    <cfRule type="duplicateValues" dxfId="446" priority="134"/>
  </conditionalFormatting>
  <conditionalFormatting sqref="T41">
    <cfRule type="duplicateValues" dxfId="445" priority="133"/>
  </conditionalFormatting>
  <conditionalFormatting sqref="U41">
    <cfRule type="duplicateValues" dxfId="444" priority="132"/>
  </conditionalFormatting>
  <conditionalFormatting sqref="V41">
    <cfRule type="duplicateValues" dxfId="443" priority="131"/>
  </conditionalFormatting>
  <conditionalFormatting sqref="W41">
    <cfRule type="duplicateValues" dxfId="442" priority="130"/>
  </conditionalFormatting>
  <conditionalFormatting sqref="X41">
    <cfRule type="duplicateValues" dxfId="441" priority="129"/>
  </conditionalFormatting>
  <conditionalFormatting sqref="Y41">
    <cfRule type="duplicateValues" dxfId="440" priority="128"/>
  </conditionalFormatting>
  <conditionalFormatting sqref="Z41">
    <cfRule type="duplicateValues" dxfId="439" priority="127"/>
  </conditionalFormatting>
  <conditionalFormatting sqref="AA41">
    <cfRule type="duplicateValues" dxfId="438" priority="126"/>
  </conditionalFormatting>
  <conditionalFormatting sqref="AB41">
    <cfRule type="duplicateValues" dxfId="437" priority="125"/>
  </conditionalFormatting>
  <conditionalFormatting sqref="AC41">
    <cfRule type="duplicateValues" dxfId="436" priority="124"/>
  </conditionalFormatting>
  <conditionalFormatting sqref="AD43:AL43">
    <cfRule type="duplicateValues" dxfId="435" priority="120"/>
  </conditionalFormatting>
  <conditionalFormatting sqref="T43:AB43">
    <cfRule type="duplicateValues" dxfId="434" priority="121"/>
  </conditionalFormatting>
  <conditionalFormatting sqref="AX43:BF43">
    <cfRule type="duplicateValues" dxfId="433" priority="118"/>
  </conditionalFormatting>
  <conditionalFormatting sqref="AN43:AV43">
    <cfRule type="duplicateValues" dxfId="432" priority="119"/>
  </conditionalFormatting>
  <conditionalFormatting sqref="BR43:BZ43">
    <cfRule type="duplicateValues" dxfId="431" priority="116"/>
  </conditionalFormatting>
  <conditionalFormatting sqref="BI43:BP43">
    <cfRule type="duplicateValues" dxfId="430" priority="117"/>
  </conditionalFormatting>
  <conditionalFormatting sqref="CC43:CJ43">
    <cfRule type="duplicateValues" dxfId="429" priority="122"/>
  </conditionalFormatting>
  <conditionalFormatting sqref="CL43:CT43">
    <cfRule type="duplicateValues" dxfId="428" priority="123"/>
  </conditionalFormatting>
  <conditionalFormatting sqref="CW43:DD43">
    <cfRule type="duplicateValues" dxfId="427" priority="114"/>
  </conditionalFormatting>
  <conditionalFormatting sqref="DF43:DN43">
    <cfRule type="duplicateValues" dxfId="426" priority="115"/>
  </conditionalFormatting>
  <conditionalFormatting sqref="DQ43:DX43">
    <cfRule type="duplicateValues" dxfId="425" priority="113"/>
  </conditionalFormatting>
  <conditionalFormatting sqref="DZ43:EH43">
    <cfRule type="duplicateValues" dxfId="424" priority="112"/>
  </conditionalFormatting>
  <conditionalFormatting sqref="EK43:ER43">
    <cfRule type="duplicateValues" dxfId="423" priority="111"/>
  </conditionalFormatting>
  <conditionalFormatting sqref="ET43:FB43">
    <cfRule type="duplicateValues" dxfId="422" priority="110"/>
  </conditionalFormatting>
  <conditionalFormatting sqref="FE43:FL43">
    <cfRule type="duplicateValues" dxfId="421" priority="109"/>
  </conditionalFormatting>
  <conditionalFormatting sqref="FN43:FV43">
    <cfRule type="duplicateValues" dxfId="420" priority="108"/>
  </conditionalFormatting>
  <conditionalFormatting sqref="FY43:GF43">
    <cfRule type="duplicateValues" dxfId="419" priority="107"/>
  </conditionalFormatting>
  <conditionalFormatting sqref="GH43:GP43">
    <cfRule type="duplicateValues" dxfId="418" priority="106"/>
  </conditionalFormatting>
  <conditionalFormatting sqref="GS43:GZ43">
    <cfRule type="duplicateValues" dxfId="417" priority="105"/>
  </conditionalFormatting>
  <conditionalFormatting sqref="HB43:HJ43">
    <cfRule type="duplicateValues" dxfId="416" priority="104"/>
  </conditionalFormatting>
  <conditionalFormatting sqref="HM43:HT43">
    <cfRule type="duplicateValues" dxfId="415" priority="103"/>
  </conditionalFormatting>
  <conditionalFormatting sqref="HV43:ID43">
    <cfRule type="duplicateValues" dxfId="414" priority="102"/>
  </conditionalFormatting>
  <conditionalFormatting sqref="IG43:IN43">
    <cfRule type="duplicateValues" dxfId="413" priority="101"/>
  </conditionalFormatting>
  <conditionalFormatting sqref="IP43:IX43">
    <cfRule type="duplicateValues" dxfId="412" priority="100"/>
  </conditionalFormatting>
  <conditionalFormatting sqref="JA43:JH43">
    <cfRule type="duplicateValues" dxfId="411" priority="99"/>
  </conditionalFormatting>
  <conditionalFormatting sqref="JJ43:JR43">
    <cfRule type="duplicateValues" dxfId="410" priority="98"/>
  </conditionalFormatting>
  <conditionalFormatting sqref="JU43:KB43">
    <cfRule type="duplicateValues" dxfId="409" priority="97"/>
  </conditionalFormatting>
  <conditionalFormatting sqref="KD43:KL43">
    <cfRule type="duplicateValues" dxfId="408" priority="96"/>
  </conditionalFormatting>
  <conditionalFormatting sqref="KX43:LF43">
    <cfRule type="duplicateValues" dxfId="407" priority="95"/>
  </conditionalFormatting>
  <conditionalFormatting sqref="KO43:KV43">
    <cfRule type="duplicateValues" dxfId="406" priority="94"/>
  </conditionalFormatting>
  <conditionalFormatting sqref="LI43:LP43">
    <cfRule type="duplicateValues" dxfId="405" priority="93"/>
  </conditionalFormatting>
  <conditionalFormatting sqref="LR43:LZ43">
    <cfRule type="duplicateValues" dxfId="404" priority="92"/>
  </conditionalFormatting>
  <conditionalFormatting sqref="MC43:MJ43">
    <cfRule type="duplicateValues" dxfId="403" priority="91"/>
  </conditionalFormatting>
  <conditionalFormatting sqref="ML43:MT43">
    <cfRule type="duplicateValues" dxfId="402" priority="90"/>
  </conditionalFormatting>
  <conditionalFormatting sqref="MW43:ND43">
    <cfRule type="duplicateValues" dxfId="401" priority="89"/>
  </conditionalFormatting>
  <conditionalFormatting sqref="NF43:NN43">
    <cfRule type="duplicateValues" dxfId="400" priority="88"/>
  </conditionalFormatting>
  <conditionalFormatting sqref="NQ43:NX43">
    <cfRule type="duplicateValues" dxfId="399" priority="87"/>
  </conditionalFormatting>
  <conditionalFormatting sqref="NZ43:OH43">
    <cfRule type="duplicateValues" dxfId="398" priority="86"/>
  </conditionalFormatting>
  <conditionalFormatting sqref="OK43:OR43">
    <cfRule type="duplicateValues" dxfId="397" priority="85"/>
  </conditionalFormatting>
  <conditionalFormatting sqref="OT43:PB43">
    <cfRule type="duplicateValues" dxfId="396" priority="84"/>
  </conditionalFormatting>
  <conditionalFormatting sqref="PE43:PL43">
    <cfRule type="duplicateValues" dxfId="395" priority="83"/>
  </conditionalFormatting>
  <conditionalFormatting sqref="PN43:PV43">
    <cfRule type="duplicateValues" dxfId="394" priority="82"/>
  </conditionalFormatting>
  <conditionalFormatting sqref="AD44:AL44 T44:AB44">
    <cfRule type="duplicateValues" dxfId="393" priority="81"/>
  </conditionalFormatting>
  <conditionalFormatting sqref="BH43">
    <cfRule type="duplicateValues" dxfId="392" priority="80"/>
  </conditionalFormatting>
  <conditionalFormatting sqref="CB43">
    <cfRule type="duplicateValues" dxfId="391" priority="79"/>
  </conditionalFormatting>
  <conditionalFormatting sqref="CV43">
    <cfRule type="duplicateValues" dxfId="390" priority="78"/>
  </conditionalFormatting>
  <conditionalFormatting sqref="DP43">
    <cfRule type="duplicateValues" dxfId="389" priority="77"/>
  </conditionalFormatting>
  <conditionalFormatting sqref="EJ43">
    <cfRule type="duplicateValues" dxfId="388" priority="76"/>
  </conditionalFormatting>
  <conditionalFormatting sqref="FD43">
    <cfRule type="duplicateValues" dxfId="387" priority="75"/>
  </conditionalFormatting>
  <conditionalFormatting sqref="FX43">
    <cfRule type="duplicateValues" dxfId="386" priority="74"/>
  </conditionalFormatting>
  <conditionalFormatting sqref="GR43">
    <cfRule type="duplicateValues" dxfId="385" priority="73"/>
  </conditionalFormatting>
  <conditionalFormatting sqref="HL43">
    <cfRule type="duplicateValues" dxfId="384" priority="72"/>
  </conditionalFormatting>
  <conditionalFormatting sqref="IF43">
    <cfRule type="duplicateValues" dxfId="383" priority="71"/>
  </conditionalFormatting>
  <conditionalFormatting sqref="IZ43">
    <cfRule type="duplicateValues" dxfId="382" priority="70"/>
  </conditionalFormatting>
  <conditionalFormatting sqref="JT43">
    <cfRule type="duplicateValues" dxfId="381" priority="69"/>
  </conditionalFormatting>
  <conditionalFormatting sqref="KN43">
    <cfRule type="duplicateValues" dxfId="380" priority="68"/>
  </conditionalFormatting>
  <conditionalFormatting sqref="LH43">
    <cfRule type="duplicateValues" dxfId="379" priority="67"/>
  </conditionalFormatting>
  <conditionalFormatting sqref="MB43">
    <cfRule type="duplicateValues" dxfId="378" priority="66"/>
  </conditionalFormatting>
  <conditionalFormatting sqref="MV43">
    <cfRule type="duplicateValues" dxfId="377" priority="65"/>
  </conditionalFormatting>
  <conditionalFormatting sqref="NP43">
    <cfRule type="duplicateValues" dxfId="376" priority="64"/>
  </conditionalFormatting>
  <conditionalFormatting sqref="OJ43">
    <cfRule type="duplicateValues" dxfId="375" priority="63"/>
  </conditionalFormatting>
  <conditionalFormatting sqref="PD43">
    <cfRule type="duplicateValues" dxfId="374" priority="62"/>
  </conditionalFormatting>
  <conditionalFormatting sqref="AX44:BF44 AN44:AV44">
    <cfRule type="duplicateValues" dxfId="373" priority="61"/>
  </conditionalFormatting>
  <conditionalFormatting sqref="BR44:BZ44 BH44:BP44">
    <cfRule type="duplicateValues" dxfId="372" priority="60"/>
  </conditionalFormatting>
  <conditionalFormatting sqref="CL44:CT44 CB44:CJ44">
    <cfRule type="duplicateValues" dxfId="371" priority="59"/>
  </conditionalFormatting>
  <conditionalFormatting sqref="DF44:DN44 CV44:DD44">
    <cfRule type="duplicateValues" dxfId="370" priority="58"/>
  </conditionalFormatting>
  <conditionalFormatting sqref="DZ44:EH44 DP44:DX44">
    <cfRule type="duplicateValues" dxfId="369" priority="57"/>
  </conditionalFormatting>
  <conditionalFormatting sqref="ET44:FB44 EJ44:ER44">
    <cfRule type="duplicateValues" dxfId="368" priority="56"/>
  </conditionalFormatting>
  <conditionalFormatting sqref="T36:AC36">
    <cfRule type="duplicateValues" dxfId="367" priority="55"/>
  </conditionalFormatting>
  <conditionalFormatting sqref="AM36">
    <cfRule type="duplicateValues" dxfId="366" priority="54"/>
  </conditionalFormatting>
  <conditionalFormatting sqref="AD36:AL36">
    <cfRule type="duplicateValues" dxfId="365" priority="53"/>
  </conditionalFormatting>
  <conditionalFormatting sqref="T54:AB54">
    <cfRule type="duplicateValues" dxfId="364" priority="52"/>
  </conditionalFormatting>
  <conditionalFormatting sqref="AC54">
    <cfRule type="duplicateValues" dxfId="363" priority="51"/>
  </conditionalFormatting>
  <conditionalFormatting sqref="D59">
    <cfRule type="duplicateValues" dxfId="362" priority="50"/>
  </conditionalFormatting>
  <conditionalFormatting sqref="T60:AB60">
    <cfRule type="duplicateValues" dxfId="361" priority="49"/>
  </conditionalFormatting>
  <conditionalFormatting sqref="AD60:AL60">
    <cfRule type="duplicateValues" dxfId="360" priority="48"/>
  </conditionalFormatting>
  <conditionalFormatting sqref="T62:AC62">
    <cfRule type="duplicateValues" dxfId="359" priority="43"/>
  </conditionalFormatting>
  <conditionalFormatting sqref="T65:AC65">
    <cfRule type="duplicateValues" dxfId="358" priority="42"/>
  </conditionalFormatting>
  <conditionalFormatting sqref="T63:AC63">
    <cfRule type="duplicateValues" dxfId="357" priority="44"/>
  </conditionalFormatting>
  <conditionalFormatting sqref="T64:AC64">
    <cfRule type="duplicateValues" dxfId="356" priority="45"/>
  </conditionalFormatting>
  <conditionalFormatting sqref="T66:AB66">
    <cfRule type="duplicateValues" dxfId="355" priority="46"/>
  </conditionalFormatting>
  <conditionalFormatting sqref="T67:AB67">
    <cfRule type="duplicateValues" dxfId="354" priority="41"/>
  </conditionalFormatting>
  <conditionalFormatting sqref="AC67">
    <cfRule type="duplicateValues" dxfId="353" priority="40"/>
  </conditionalFormatting>
  <conditionalFormatting sqref="T68:AC68">
    <cfRule type="duplicateValues" dxfId="352" priority="39"/>
  </conditionalFormatting>
  <conditionalFormatting sqref="U69:AC69">
    <cfRule type="duplicateValues" dxfId="351" priority="38"/>
  </conditionalFormatting>
  <conditionalFormatting sqref="T69">
    <cfRule type="duplicateValues" dxfId="350" priority="37"/>
  </conditionalFormatting>
  <conditionalFormatting sqref="T70:AB70">
    <cfRule type="duplicateValues" dxfId="349" priority="36"/>
  </conditionalFormatting>
  <conditionalFormatting sqref="T71:AB71">
    <cfRule type="duplicateValues" dxfId="348" priority="35"/>
  </conditionalFormatting>
  <conditionalFormatting sqref="T72:AB72">
    <cfRule type="duplicateValues" dxfId="347" priority="34"/>
  </conditionalFormatting>
  <conditionalFormatting sqref="T73:AB73">
    <cfRule type="duplicateValues" dxfId="346" priority="33"/>
  </conditionalFormatting>
  <conditionalFormatting sqref="T74:AB74">
    <cfRule type="duplicateValues" dxfId="345" priority="32"/>
  </conditionalFormatting>
  <conditionalFormatting sqref="AC70">
    <cfRule type="duplicateValues" dxfId="344" priority="31"/>
  </conditionalFormatting>
  <conditionalFormatting sqref="AC71">
    <cfRule type="duplicateValues" dxfId="343" priority="30"/>
  </conditionalFormatting>
  <conditionalFormatting sqref="AC72">
    <cfRule type="duplicateValues" dxfId="342" priority="29"/>
  </conditionalFormatting>
  <conditionalFormatting sqref="AC73">
    <cfRule type="duplicateValues" dxfId="341" priority="28"/>
  </conditionalFormatting>
  <conditionalFormatting sqref="AC74">
    <cfRule type="duplicateValues" dxfId="340" priority="27"/>
  </conditionalFormatting>
  <conditionalFormatting sqref="T76:AB76">
    <cfRule type="duplicateValues" dxfId="339" priority="26"/>
  </conditionalFormatting>
  <conditionalFormatting sqref="AC76">
    <cfRule type="duplicateValues" dxfId="338" priority="25"/>
  </conditionalFormatting>
  <conditionalFormatting sqref="T75:AC75">
    <cfRule type="duplicateValues" dxfId="337" priority="47"/>
  </conditionalFormatting>
  <conditionalFormatting sqref="T77:AB77">
    <cfRule type="duplicateValues" dxfId="336" priority="24"/>
  </conditionalFormatting>
  <conditionalFormatting sqref="AC77">
    <cfRule type="duplicateValues" dxfId="335" priority="23"/>
  </conditionalFormatting>
  <conditionalFormatting sqref="T61:AC61">
    <cfRule type="duplicateValues" dxfId="334" priority="22"/>
  </conditionalFormatting>
  <conditionalFormatting sqref="T80:X80">
    <cfRule type="duplicateValues" dxfId="333" priority="20"/>
  </conditionalFormatting>
  <conditionalFormatting sqref="T81:AC81">
    <cfRule type="duplicateValues" dxfId="332" priority="8"/>
  </conditionalFormatting>
  <conditionalFormatting sqref="AD81:AG81">
    <cfRule type="duplicateValues" dxfId="331" priority="6"/>
  </conditionalFormatting>
  <conditionalFormatting sqref="AH81:AM81">
    <cfRule type="duplicateValues" dxfId="330" priority="5"/>
  </conditionalFormatting>
  <conditionalFormatting sqref="I12">
    <cfRule type="expression" dxfId="329" priority="1">
      <formula>$N$12=2</formula>
    </cfRule>
    <cfRule type="expression" dxfId="328" priority="4">
      <formula>$N$12=1</formula>
    </cfRule>
  </conditionalFormatting>
  <conditionalFormatting sqref="L12">
    <cfRule type="expression" dxfId="327" priority="2">
      <formula>$N$12=1</formula>
    </cfRule>
    <cfRule type="expression" dxfId="326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5" shapeId="50204" r:id="rId4">
          <objectPr defaultSize="0" autoPict="0" r:id="rId5">
            <anchor moveWithCells="1" sizeWithCells="1">
              <from>
                <xdr:col>2</xdr:col>
                <xdr:colOff>190500</xdr:colOff>
                <xdr:row>53</xdr:row>
                <xdr:rowOff>57150</xdr:rowOff>
              </from>
              <to>
                <xdr:col>2</xdr:col>
                <xdr:colOff>600075</xdr:colOff>
                <xdr:row>53</xdr:row>
                <xdr:rowOff>361950</xdr:rowOff>
              </to>
            </anchor>
          </objectPr>
        </oleObject>
      </mc:Choice>
      <mc:Fallback>
        <oleObject progId="CorelDraw.Graphic.15" shapeId="50204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6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7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352425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8" name="Option Button 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314325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9" name="Option Button 1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314325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0" name="Option Button 1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314325</xdr:colOff>
                    <xdr:row>17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1" name="Option Button 1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314325</xdr:colOff>
                    <xdr:row>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2" name="Option Button 13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14</xdr:row>
                    <xdr:rowOff>28575</xdr:rowOff>
                  </from>
                  <to>
                    <xdr:col>10</xdr:col>
                    <xdr:colOff>314325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3" name="Option Button 14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15</xdr:row>
                    <xdr:rowOff>9525</xdr:rowOff>
                  </from>
                  <to>
                    <xdr:col>10</xdr:col>
                    <xdr:colOff>314325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4" name="Option Button 15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16</xdr:row>
                    <xdr:rowOff>9525</xdr:rowOff>
                  </from>
                  <to>
                    <xdr:col>10</xdr:col>
                    <xdr:colOff>314325</xdr:colOff>
                    <xdr:row>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5" name="Option Button 16">
              <controlPr defaultSize="0" autoFill="0" autoLine="0" autoPict="0" altText="">
                <anchor moveWithCells="1">
                  <from>
                    <xdr:col>8</xdr:col>
                    <xdr:colOff>762000</xdr:colOff>
                    <xdr:row>17</xdr:row>
                    <xdr:rowOff>9525</xdr:rowOff>
                  </from>
                  <to>
                    <xdr:col>10</xdr:col>
                    <xdr:colOff>314325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16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314325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17" name="Group Box 18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352425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1" r:id="rId18" name="Option Button 2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3" r:id="rId19" name="Option Button 27">
              <controlPr defaultSize="0" autoFill="0" autoLine="0" autoPict="0" altText="">
                <anchor moveWithCells="1">
                  <from>
                    <xdr:col>12</xdr:col>
                    <xdr:colOff>66675</xdr:colOff>
                    <xdr:row>14</xdr:row>
                    <xdr:rowOff>9525</xdr:rowOff>
                  </from>
                  <to>
                    <xdr:col>12</xdr:col>
                    <xdr:colOff>114300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6" r:id="rId20" name="Option Button 3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314325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7" r:id="rId21" name="Option Button 31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8" r:id="rId22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10" id="{67760967-980E-4E65-96EF-BE436B40B677}">
            <xm:f>$H$27=Formeln!$A$1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H27:K27</xm:sqref>
        </x14:conditionalFormatting>
        <x14:conditionalFormatting xmlns:xm="http://schemas.microsoft.com/office/excel/2006/main">
          <x14:cfRule type="expression" priority="309" id="{17A422B1-D01E-470B-B781-ABCBB6B6F14F}">
            <xm:f>$H$28=Formeln!$A$1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H28:K28</xm:sqref>
        </x14:conditionalFormatting>
        <x14:conditionalFormatting xmlns:xm="http://schemas.microsoft.com/office/excel/2006/main">
          <x14:cfRule type="expression" priority="308" id="{751DD67E-9843-4911-878B-2EF0049F9F4B}">
            <xm:f>$H$30=Formeln!$A$1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H30:K30</xm:sqref>
        </x14:conditionalFormatting>
        <x14:conditionalFormatting xmlns:xm="http://schemas.microsoft.com/office/excel/2006/main">
          <x14:cfRule type="expression" priority="307" id="{EB670BD4-4E51-4305-BFC5-75E2B64421A0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306" id="{B5EC9478-9384-4F6F-88A7-EF745DDD54D0}">
            <xm:f>$H$40=Formeln!$A$1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H40:K40</xm:sqref>
        </x14:conditionalFormatting>
        <x14:conditionalFormatting xmlns:xm="http://schemas.microsoft.com/office/excel/2006/main">
          <x14:cfRule type="expression" priority="304" id="{8DB7B076-C5C0-40AA-A4A6-64341FDD9FC6}">
            <xm:f>$J$43=Formeln!$A$1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J43:K43</xm:sqref>
        </x14:conditionalFormatting>
        <x14:conditionalFormatting xmlns:xm="http://schemas.microsoft.com/office/excel/2006/main">
          <x14:cfRule type="expression" priority="302" id="{FE6ACE70-9D74-43D2-B283-B8F34106E650}">
            <xm:f>$J$44=Formeln!$A$1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J44:K44</xm:sqref>
        </x14:conditionalFormatting>
        <x14:conditionalFormatting xmlns:xm="http://schemas.microsoft.com/office/excel/2006/main">
          <x14:cfRule type="expression" priority="301" id="{1C0C1B90-7EF3-487C-919B-AAEF3EDB3EE2}">
            <xm:f>$I$80=Formeln!$A$1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I80:K80</xm:sqref>
        </x14:conditionalFormatting>
        <x14:conditionalFormatting xmlns:xm="http://schemas.microsoft.com/office/excel/2006/main">
          <x14:cfRule type="expression" priority="300" id="{20A3201D-3A63-409B-8417-1B70CB314E79}">
            <xm:f>$I$81=Formeln!$A$1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I81</xm:sqref>
        </x14:conditionalFormatting>
        <x14:conditionalFormatting xmlns:xm="http://schemas.microsoft.com/office/excel/2006/main">
          <x14:cfRule type="expression" priority="298" id="{082AF4D2-02CE-4B97-9A92-FD282B592078}">
            <xm:f>$K$81=Formeln!$A$1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K81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Formeln!$A$132:$A$142</xm:f>
          </x14:formula1>
          <xm:sqref>K81</xm:sqref>
        </x14:dataValidation>
        <x14:dataValidation type="list" allowBlank="1" showInputMessage="1" showErrorMessage="1">
          <x14:formula1>
            <xm:f>Formeln!$A$27:$A$48</xm:f>
          </x14:formula1>
          <xm:sqref>J43:K43</xm:sqref>
        </x14:dataValidation>
        <x14:dataValidation type="list" allowBlank="1" showInputMessage="1" showErrorMessage="1">
          <x14:formula1>
            <xm:f>Formeln!$A$20:$A$22</xm:f>
          </x14:formula1>
          <xm:sqref>I81</xm:sqref>
        </x14:dataValidation>
        <x14:dataValidation type="list" allowBlank="1" showInputMessage="1" showErrorMessage="1">
          <x14:formula1>
            <xm:f>Formeln!$A$17:$A$19</xm:f>
          </x14:formula1>
          <xm:sqref>H40:K40</xm:sqref>
        </x14:dataValidation>
        <x14:dataValidation type="list" allowBlank="1" showInputMessage="1" showErrorMessage="1">
          <x14:formula1>
            <xm:f>Formeln!$A$14:$A$16</xm:f>
          </x14:formula1>
          <xm:sqref>H39:K39</xm:sqref>
        </x14:dataValidation>
        <x14:dataValidation type="list" allowBlank="1" showInputMessage="1" showErrorMessage="1">
          <x14:formula1>
            <xm:f>Formeln!$A$9:$A$11</xm:f>
          </x14:formula1>
          <xm:sqref>H30:K30</xm:sqref>
        </x14:dataValidation>
        <x14:dataValidation type="list" allowBlank="1" showInputMessage="1" showErrorMessage="1">
          <x14:formula1>
            <xm:f>Formeln!$A$5:$A$8</xm:f>
          </x14:formula1>
          <xm:sqref>H28:K28</xm:sqref>
        </x14:dataValidation>
        <x14:dataValidation type="list" allowBlank="1" showInputMessage="1" showErrorMessage="1">
          <x14:formula1>
            <xm:f>Formeln!$A$1:$A$4</xm:f>
          </x14:formula1>
          <xm:sqref>H27:K27</xm:sqref>
        </x14:dataValidation>
        <x14:dataValidation type="list" allowBlank="1" showInputMessage="1" showErrorMessage="1">
          <x14:formula1>
            <xm:f>Formeln!$A$115:$A$120</xm:f>
          </x14:formula1>
          <xm:sqref>I80:K80</xm:sqref>
        </x14:dataValidation>
        <x14:dataValidation type="list" allowBlank="1" showInputMessage="1" showErrorMessage="1">
          <x14:formula1>
            <xm:f>Formeln!$A$49:$A$112</xm:f>
          </x14:formula1>
          <xm:sqref>J44:K44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pageSetUpPr fitToPage="1"/>
  </sheetPr>
  <dimension ref="A1:CE114"/>
  <sheetViews>
    <sheetView showGridLines="0" showZeros="0" zoomScaleNormal="100" workbookViewId="0">
      <selection activeCell="C8" sqref="C8:E8"/>
    </sheetView>
  </sheetViews>
  <sheetFormatPr baseColWidth="10" defaultColWidth="0" defaultRowHeight="14.25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9" width="8.73046875" style="1" hidden="1" customWidth="1"/>
    <col min="20" max="83" width="11.73046875" style="1" hidden="1" customWidth="1"/>
    <col min="84" max="16384" width="8.73046875" style="1" hidden="1"/>
  </cols>
  <sheetData>
    <row r="1" spans="1:17" ht="27.75">
      <c r="M1" s="2" t="str">
        <f>VLOOKUP("PREFA DACHSYSTEME",Sprachindex!A:Z,Info!$O$6,FALSE)</f>
        <v>PREFA DACHSYSTEME</v>
      </c>
    </row>
    <row r="2" spans="1:17" ht="27.75">
      <c r="D2" s="23"/>
      <c r="M2" s="2" t="str">
        <f>VLOOKUP("PREFALZ",Sprachindex!A:Z,Info!$O$6,FALSE)</f>
        <v>PREFALZ</v>
      </c>
    </row>
    <row r="3" spans="1:17" ht="15" customHeight="1"/>
    <row r="4" spans="1:17" ht="16.899999999999999">
      <c r="A4" s="123"/>
      <c r="B4" s="123"/>
      <c r="C4" s="123"/>
      <c r="D4" s="123"/>
      <c r="E4" s="123"/>
      <c r="F4" s="123"/>
      <c r="G4" s="123"/>
      <c r="H4" s="123"/>
      <c r="J4" s="152" t="str">
        <f>VLOOKUP("RETOURNIERUNG PER FAX:",Sprachindex!A:Z,Info!$O$6,FALSE)</f>
        <v>RETOURNIERUNG PER FAX:</v>
      </c>
      <c r="K4" s="260"/>
      <c r="L4" s="261"/>
      <c r="M4" s="262"/>
      <c r="N4" s="123"/>
      <c r="Q4" s="3"/>
    </row>
    <row r="5" spans="1:17" ht="16.899999999999999">
      <c r="A5" s="123"/>
      <c r="B5" s="123"/>
      <c r="C5" s="123"/>
      <c r="D5" s="123"/>
      <c r="E5" s="123"/>
      <c r="F5" s="123"/>
      <c r="G5" s="123"/>
      <c r="H5" s="123"/>
      <c r="J5" s="152" t="str">
        <f>VLOOKUP("ODER EMAIL:",Sprachindex!A:Z,Info!$O$6,FALSE)</f>
        <v>ODER EMAIL:</v>
      </c>
      <c r="K5" s="260"/>
      <c r="L5" s="261"/>
      <c r="M5" s="262"/>
      <c r="N5" s="123"/>
      <c r="Q5" s="3"/>
    </row>
    <row r="6" spans="1:17" ht="16.899999999999999">
      <c r="A6" s="123"/>
      <c r="B6" s="123"/>
      <c r="C6" s="123"/>
      <c r="D6" s="123"/>
      <c r="E6" s="123"/>
      <c r="F6" s="123"/>
      <c r="G6" s="123"/>
      <c r="H6" s="123"/>
      <c r="J6" s="152" t="str">
        <f>VLOOKUP("Datum:",Sprachindex!A:Z,Info!$O$6,FALSE)</f>
        <v>Datum:</v>
      </c>
      <c r="K6" s="260"/>
      <c r="L6" s="261"/>
      <c r="M6" s="262"/>
      <c r="N6" s="165">
        <v>1</v>
      </c>
      <c r="Q6" s="3"/>
    </row>
    <row r="7" spans="1:17" ht="16.899999999999999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4"/>
      <c r="P7" s="13"/>
    </row>
    <row r="8" spans="1:17" ht="15" customHeight="1">
      <c r="A8" s="123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57" t="str">
        <f>VLOOKUP("stucco",Sprachindex!A:Z,Info!$O$6,FALSE)</f>
        <v>stucco</v>
      </c>
      <c r="J8" s="122"/>
      <c r="K8" s="123"/>
      <c r="L8" s="122" t="str">
        <f>VLOOKUP("glatt",Sprachindex!A:Z,Info!$O$6,FALSE)</f>
        <v>glatt</v>
      </c>
      <c r="M8" s="123"/>
      <c r="N8" s="165"/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23"/>
      <c r="J9" s="124">
        <v>1</v>
      </c>
      <c r="K9" s="123"/>
      <c r="L9" s="123"/>
      <c r="M9" s="123"/>
      <c r="N9" s="124"/>
      <c r="Q9" s="4"/>
    </row>
    <row r="10" spans="1:17" ht="15" customHeight="1">
      <c r="A10" s="123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6"/>
      <c r="O10" s="14"/>
      <c r="Q10" s="4"/>
    </row>
    <row r="11" spans="1:17" ht="15" customHeight="1">
      <c r="A11" s="123"/>
      <c r="B11" s="123"/>
      <c r="C11" s="123"/>
      <c r="D11" s="123"/>
      <c r="E11" s="123"/>
      <c r="F11" s="123"/>
      <c r="G11" s="123"/>
      <c r="H11" s="123"/>
      <c r="I11" s="127"/>
      <c r="J11" s="124">
        <v>1</v>
      </c>
      <c r="K11" s="123"/>
      <c r="L11" s="123"/>
      <c r="M11" s="123"/>
      <c r="N11" s="124"/>
    </row>
    <row r="12" spans="1:17" ht="15" customHeight="1">
      <c r="A12" s="123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165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124"/>
      <c r="Q13" s="4"/>
    </row>
    <row r="14" spans="1:17" ht="15" customHeight="1">
      <c r="A14" s="123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124"/>
      <c r="Q14" s="4"/>
    </row>
    <row r="15" spans="1:17" ht="15" customHeight="1">
      <c r="A15" s="123"/>
      <c r="B15" s="123"/>
      <c r="C15" s="123"/>
      <c r="D15" s="123"/>
      <c r="E15" s="123"/>
      <c r="F15" s="123"/>
      <c r="G15" s="123" t="str">
        <f>VLOOKUP("01 P.10 braun",Sprachindex!A:Z,Info!$O$6,FALSE)</f>
        <v>01 P.10 braun</v>
      </c>
      <c r="H15" s="123"/>
      <c r="I15" s="122" t="str">
        <f>VLOOKUP("11 P.10 nussbraun",Sprachindex!A:Z,Info!$O$6,FALSE)</f>
        <v>11 P.10 nussbraun</v>
      </c>
      <c r="J15" s="123"/>
      <c r="K15" s="122" t="str">
        <f>VLOOKUP("46 patina grün",Sprachindex!A:Z,Info!$O$6,FALSE)</f>
        <v>46 patina grün</v>
      </c>
      <c r="L15" s="123"/>
      <c r="M15" s="123"/>
      <c r="N15" s="124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P.10 anthrazit",Sprachindex!A:Z,Info!$O$6,FALSE)</f>
        <v>02 P.10 anthrazit</v>
      </c>
      <c r="H16" s="123"/>
      <c r="I16" s="122" t="str">
        <f>VLOOKUP("06 P.10 moosgrün",Sprachindex!A:Z,Info!$O$6,FALSE)</f>
        <v>06 P.10 moosgrün</v>
      </c>
      <c r="J16" s="123"/>
      <c r="K16" s="122" t="str">
        <f>VLOOKUP("23 schwarzgrau",Sprachindex!A:Z,Info!$O$6,FALSE)</f>
        <v>23 schwarzgrau</v>
      </c>
      <c r="L16" s="123"/>
      <c r="M16" s="123"/>
      <c r="N16" s="124"/>
      <c r="P16" s="13"/>
    </row>
    <row r="17" spans="1:55" ht="15" customHeight="1">
      <c r="A17" s="123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P.10 schwarz",Sprachindex!A:Z,Info!$O$6,FALSE)</f>
        <v>03 P.10 schwarz</v>
      </c>
      <c r="H17" s="123"/>
      <c r="I17" s="122" t="str">
        <f>VLOOKUP("08 P.10 zinkgrau",Sprachindex!A:Z,Info!$O$6,FALSE)</f>
        <v>08 P.10 zinkgrau</v>
      </c>
      <c r="J17" s="123"/>
      <c r="K17" s="122" t="str">
        <f>VLOOKUP("47 patina grau",Sprachindex!A:Z,Info!$O$6,FALSE)</f>
        <v>47 patina grau</v>
      </c>
      <c r="L17" s="123"/>
      <c r="M17" s="123"/>
      <c r="N17" s="160"/>
      <c r="Q17" s="4"/>
    </row>
    <row r="18" spans="1:55" ht="15" customHeight="1">
      <c r="A18" s="123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P.10 ziegelrot",Sprachindex!A:Z,Info!$O$6,FALSE)</f>
        <v>04 P.10 ziegelrot</v>
      </c>
      <c r="H18" s="123"/>
      <c r="I18" s="122" t="str">
        <f>VLOOKUP("10 P.10 prefaweiß",Sprachindex!A:Z,Info!$O$6,FALSE)</f>
        <v>10 P.10 prefaweiß</v>
      </c>
      <c r="J18" s="123"/>
      <c r="K18" s="122"/>
      <c r="L18" s="123"/>
      <c r="M18" s="123"/>
      <c r="N18" s="124"/>
      <c r="Q18" s="4"/>
    </row>
    <row r="19" spans="1:55" ht="15" customHeight="1">
      <c r="A19" s="123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P.10 oxydrot",Sprachindex!A:Z,Info!$O$6,FALSE)</f>
        <v>05 P.10 oxydrot</v>
      </c>
      <c r="H19" s="123"/>
      <c r="I19" s="123" t="str">
        <f>VLOOKUP("13 naturblank",Sprachindex!A:Z,Info!$O$6,FALSE)</f>
        <v>13 naturblank</v>
      </c>
      <c r="J19" s="123"/>
      <c r="K19" s="179"/>
      <c r="L19" s="123"/>
      <c r="M19" s="123"/>
      <c r="N19" s="124"/>
      <c r="Q19" s="4"/>
    </row>
    <row r="20" spans="1:55" ht="15" customHeight="1">
      <c r="A20" s="123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VLOOKUP("07 P.10 hellgrau ",Sprachindex!A:Z,Info!$O$6,FALSE)</f>
        <v xml:space="preserve">07 P.10 hellgrau </v>
      </c>
      <c r="H20" s="123"/>
      <c r="I20" s="122" t="str">
        <f>VLOOKUP("12 silbermetallic",Sprachindex!A:Z,Info!$O$6,FALSE)</f>
        <v>12 silbermetallic</v>
      </c>
      <c r="J20" s="123"/>
      <c r="K20" s="180"/>
      <c r="L20" s="180"/>
      <c r="M20" s="123"/>
      <c r="N20" s="165"/>
      <c r="Q20" s="4"/>
    </row>
    <row r="21" spans="1:55" ht="15" customHeight="1">
      <c r="A21" s="123"/>
      <c r="B21" s="127"/>
      <c r="C21" s="123"/>
      <c r="D21" s="123"/>
      <c r="E21" s="123"/>
      <c r="F21" s="123"/>
      <c r="G21" s="122" t="str">
        <f>VLOOKUP("43 P.10 steingrau",Sprachindex!A:Z,Info!$O$6,FALSE)</f>
        <v>43 P.10 steingrau</v>
      </c>
      <c r="H21" s="123"/>
      <c r="I21" s="122" t="str">
        <f>VLOOKUP("45 bronze",Sprachindex!A:Z,Info!$O$6,FALSE)</f>
        <v>45 bronze</v>
      </c>
      <c r="J21" s="123"/>
      <c r="K21" s="123"/>
      <c r="L21" s="123"/>
      <c r="M21" s="123"/>
      <c r="N21" s="124"/>
      <c r="Q21" s="4"/>
    </row>
    <row r="22" spans="1:55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123"/>
      <c r="G22" s="123"/>
      <c r="H22" s="123"/>
      <c r="I22" s="123"/>
      <c r="J22" s="123"/>
      <c r="K22" s="123"/>
      <c r="L22" s="123"/>
      <c r="M22" s="123"/>
      <c r="N22" s="124"/>
    </row>
    <row r="23" spans="1:55" ht="35.1" customHeight="1" thickBot="1">
      <c r="A23" s="128" t="str">
        <f>VLOOKUP("Menge",Sprachindex!A:Z,Info!$O$6,FALSE)</f>
        <v>Menge</v>
      </c>
      <c r="B23" s="207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N23" s="123"/>
      <c r="O23" s="1"/>
      <c r="Q23" s="12"/>
      <c r="T23" s="89" t="s">
        <v>3015</v>
      </c>
      <c r="U23" s="90" t="s">
        <v>702</v>
      </c>
      <c r="V23" s="90" t="s">
        <v>3021</v>
      </c>
      <c r="W23" s="90" t="s">
        <v>3022</v>
      </c>
      <c r="X23" s="90" t="s">
        <v>3023</v>
      </c>
      <c r="Y23" s="90" t="s">
        <v>3025</v>
      </c>
      <c r="Z23" s="90" t="s">
        <v>1564</v>
      </c>
      <c r="AA23" s="90" t="s">
        <v>3028</v>
      </c>
      <c r="AB23" s="90" t="s">
        <v>3024</v>
      </c>
      <c r="AC23" s="90" t="s">
        <v>3026</v>
      </c>
      <c r="AD23" s="90" t="s">
        <v>3027</v>
      </c>
      <c r="AE23" s="90" t="s">
        <v>1563</v>
      </c>
      <c r="AF23" s="90" t="s">
        <v>3010</v>
      </c>
      <c r="AG23" s="90" t="s">
        <v>3011</v>
      </c>
      <c r="AH23" s="90" t="s">
        <v>3012</v>
      </c>
      <c r="AI23" s="90" t="s">
        <v>3013</v>
      </c>
      <c r="AJ23" s="91" t="s">
        <v>3014</v>
      </c>
      <c r="AL23" s="92" t="s">
        <v>3015</v>
      </c>
      <c r="AM23" s="93" t="s">
        <v>702</v>
      </c>
      <c r="AN23" s="93" t="s">
        <v>3021</v>
      </c>
      <c r="AO23" s="93" t="s">
        <v>3022</v>
      </c>
      <c r="AP23" s="93" t="s">
        <v>3023</v>
      </c>
      <c r="AQ23" s="93" t="s">
        <v>3025</v>
      </c>
      <c r="AR23" s="93" t="s">
        <v>1564</v>
      </c>
      <c r="AS23" s="93" t="s">
        <v>3028</v>
      </c>
      <c r="AT23" s="93" t="s">
        <v>3024</v>
      </c>
      <c r="AU23" s="93" t="s">
        <v>3026</v>
      </c>
      <c r="AV23" s="93" t="s">
        <v>3027</v>
      </c>
      <c r="AW23" s="93" t="s">
        <v>1563</v>
      </c>
      <c r="AX23" s="93" t="s">
        <v>3010</v>
      </c>
      <c r="AY23" s="93" t="s">
        <v>3011</v>
      </c>
      <c r="AZ23" s="93" t="s">
        <v>3012</v>
      </c>
      <c r="BA23" s="93" t="s">
        <v>3013</v>
      </c>
      <c r="BB23" s="94" t="s">
        <v>3014</v>
      </c>
    </row>
    <row r="24" spans="1:55" ht="32.1" customHeight="1">
      <c r="A24" s="169"/>
      <c r="B24" s="208" t="str">
        <f>VLOOKUP("kg",Sprachindex!A:Z,Info!$O$6,FALSE)</f>
        <v>kg</v>
      </c>
      <c r="C24" s="131"/>
      <c r="D24" s="136">
        <f>IF(AND($N$8=2,$N$20&gt;0),AK24,IF(AND($N$8=1,$N$20&gt;0),BC24,0))</f>
        <v>0</v>
      </c>
      <c r="E24" s="295" t="str">
        <f>VLOOKUP("Prefalz Farbaluminiumband 0,7 × 500 mm",Sprachindex!A:Z,Info!$O$6,FALSE)</f>
        <v>Prefalz Farbaluminiumband 0,7 × 500 mm</v>
      </c>
      <c r="F24" s="296"/>
      <c r="G24" s="296"/>
      <c r="H24" s="296"/>
      <c r="I24" s="296"/>
      <c r="J24" s="296"/>
      <c r="K24" s="297"/>
      <c r="L24" s="137" t="str">
        <f t="shared" ref="L24:L65" si="0">IF(A24=0,"",IF($N$10=1,P24,Q24))</f>
        <v/>
      </c>
      <c r="M24" s="181"/>
      <c r="N24" s="123"/>
      <c r="O24" s="1"/>
      <c r="P24" s="11"/>
      <c r="Q24" s="11" t="str">
        <f>ROUNDUP(A24/60,0)*1 &amp; " " &amp; R24 &amp; "                         (" &amp;ROUNDUP(A24/60,0)*60&amp;" " &amp; B24 &amp; ")"</f>
        <v>0 Rolle                         (0 kg)</v>
      </c>
      <c r="R24" s="11" t="str">
        <f>IF(A24&gt;60, Formeln!$A$128, Formeln!$A$127)</f>
        <v>Rolle</v>
      </c>
      <c r="T24" s="95" t="s">
        <v>2920</v>
      </c>
      <c r="U24" s="95" t="s">
        <v>2917</v>
      </c>
      <c r="V24" s="95" t="s">
        <v>2923</v>
      </c>
      <c r="W24" s="95" t="s">
        <v>2922</v>
      </c>
      <c r="X24" s="95" t="s">
        <v>2918</v>
      </c>
      <c r="Y24" s="95" t="s">
        <v>2919</v>
      </c>
      <c r="Z24" s="95" t="s">
        <v>2921</v>
      </c>
      <c r="AA24" s="95" t="s">
        <v>2953</v>
      </c>
      <c r="AB24" s="95" t="s">
        <v>2927</v>
      </c>
      <c r="AC24" s="95" t="s">
        <v>2925</v>
      </c>
      <c r="AD24" s="95" t="s">
        <v>2926</v>
      </c>
      <c r="AE24" s="95" t="s">
        <v>2951</v>
      </c>
      <c r="AF24" s="95" t="s">
        <v>2952</v>
      </c>
      <c r="AG24" s="95" t="s">
        <v>2924</v>
      </c>
      <c r="AH24" s="95" t="s">
        <v>2980</v>
      </c>
      <c r="AI24" s="95" t="s">
        <v>2958</v>
      </c>
      <c r="AJ24" s="95" t="s">
        <v>2979</v>
      </c>
      <c r="AK24" s="96">
        <f>IF($N$20=1,T24,IF($N$20=2,U24,IF($N$20=3,V24,IF($N$20=4,W24,IF($N$20=5,X24,IF($N$20=6,Y24,IF($N$20=7,Z24,IF($N$20=8,AA24,IF($N$20=9,AB24,IF($N$20=10,AC24,IF($N$20=11,AD24,IF($N$20=12,AE24,IF($N$20=13,AF24,IF($N$20=14,AG24,IF($N$20=15,AH24,IF($N$20=16,AI24,IF($N$20=17,AJ24,0)))))))))))))))))</f>
        <v>0</v>
      </c>
      <c r="AL24" s="95" t="s">
        <v>2983</v>
      </c>
      <c r="AM24" s="95" t="s">
        <v>2992</v>
      </c>
      <c r="AN24" s="95" t="s">
        <v>2988</v>
      </c>
      <c r="AO24" s="95" t="s">
        <v>2990</v>
      </c>
      <c r="AP24" s="95" t="s">
        <v>2987</v>
      </c>
      <c r="AQ24" s="95" t="s">
        <v>2984</v>
      </c>
      <c r="AR24" s="95" t="s">
        <v>2989</v>
      </c>
      <c r="AS24" s="95" t="s">
        <v>2986</v>
      </c>
      <c r="AT24" s="95" t="s">
        <v>2985</v>
      </c>
      <c r="AU24" s="95" t="s">
        <v>2994</v>
      </c>
      <c r="AV24" s="95" t="s">
        <v>2993</v>
      </c>
      <c r="AW24" s="95" t="s">
        <v>2981</v>
      </c>
      <c r="AX24" s="95" t="s">
        <v>2982</v>
      </c>
      <c r="AY24" s="95" t="s">
        <v>2991</v>
      </c>
      <c r="AZ24" s="119"/>
      <c r="BA24" s="119"/>
      <c r="BB24" s="119"/>
      <c r="BC24" s="96">
        <f>IF($N$20=1,AL24,IF($N$20=2,AM24,IF($N$20=3,AN24,IF($N$20=4,AO24,IF($N$20=5,AP24,IF($N$20=6,AQ24,IF($N$20=7,AR24,IF($N$20=8,AS24,IF($N$20=9,AT24,IF($N$20=10,AU24,IF($N$20=11,AV24,IF($N$20=12,AW24,IF($N$20=13,AX24,IF($N$20=14,AY24,IF($N$20=15,AZ24,IF($N$20=16,BA24,IF($N$20=17,BB24,0)))))))))))))))))</f>
        <v>0</v>
      </c>
    </row>
    <row r="25" spans="1:55" ht="32.1" customHeight="1">
      <c r="A25" s="164"/>
      <c r="B25" s="209" t="str">
        <f>VLOOKUP("kg",Sprachindex!A:Z,Info!$O$6,FALSE)</f>
        <v>kg</v>
      </c>
      <c r="C25" s="182"/>
      <c r="D25" s="136">
        <f t="shared" ref="D25:D26" si="1">IF(AND($N$8=2,$N$20&gt;0),AK25,IF(AND($N$8=1,$N$20&gt;0),BC25,0))</f>
        <v>0</v>
      </c>
      <c r="E25" s="264" t="str">
        <f>VLOOKUP("Prefalz Farbaluminiumband 0,7 × 650 mm",Sprachindex!A:Z,Info!$O$6,FALSE)</f>
        <v>Prefalz Farbaluminiumband 0,7 × 650 mm</v>
      </c>
      <c r="F25" s="265"/>
      <c r="G25" s="265"/>
      <c r="H25" s="265"/>
      <c r="I25" s="265"/>
      <c r="J25" s="265"/>
      <c r="K25" s="266"/>
      <c r="L25" s="137" t="str">
        <f t="shared" si="0"/>
        <v/>
      </c>
      <c r="M25" s="183"/>
      <c r="N25" s="123"/>
      <c r="O25" s="25"/>
      <c r="P25" s="11"/>
      <c r="Q25" s="11" t="str">
        <f>ROUNDUP(A25/60,0)*1 &amp; " " &amp; R25 &amp; "                         (" &amp;ROUNDUP(A25/60,0)*60&amp;" " &amp; B25 &amp; ")"</f>
        <v>0 Rolle                         (0 kg)</v>
      </c>
      <c r="R25" s="11" t="str">
        <f>IF(A25&gt;60, Formeln!$A$128, Formeln!$A$127)</f>
        <v>Rolle</v>
      </c>
      <c r="T25" s="95" t="s">
        <v>2931</v>
      </c>
      <c r="U25" s="95" t="s">
        <v>2928</v>
      </c>
      <c r="V25" s="95" t="s">
        <v>2936</v>
      </c>
      <c r="W25" s="95" t="s">
        <v>2933</v>
      </c>
      <c r="X25" s="95" t="s">
        <v>2929</v>
      </c>
      <c r="Y25" s="95" t="s">
        <v>2930</v>
      </c>
      <c r="Z25" s="95" t="s">
        <v>2932</v>
      </c>
      <c r="AA25" s="95" t="s">
        <v>2934</v>
      </c>
      <c r="AB25" s="95" t="s">
        <v>2935</v>
      </c>
      <c r="AC25" s="95" t="s">
        <v>2938</v>
      </c>
      <c r="AD25" s="95" t="s">
        <v>2939</v>
      </c>
      <c r="AE25" s="95" t="s">
        <v>2954</v>
      </c>
      <c r="AF25" s="95" t="s">
        <v>2955</v>
      </c>
      <c r="AG25" s="95" t="s">
        <v>2937</v>
      </c>
      <c r="AH25" s="119"/>
      <c r="AI25" s="95" t="s">
        <v>2957</v>
      </c>
      <c r="AJ25" s="95" t="s">
        <v>2956</v>
      </c>
      <c r="AK25" s="96">
        <f>IF($N$20=1,T25,IF($N$20=2,U25,IF($N$20=3,V25,IF($N$20=4,W25,IF($N$20=5,X25,IF($N$20=6,Y25,IF($N$20=7,Z25,IF($N$20=8,AA25,IF($N$20=9,AB25,IF($N$20=10,AC25,IF($N$20=11,AD25,IF($N$20=12,AE25,IF($N$20=13,AF25,IF($N$20=14,AG25,IF($N$20=15,AH25,IF($N$20=16,AI25,IF($N$20=17,AJ25,0)))))))))))))))))</f>
        <v>0</v>
      </c>
      <c r="AL25" s="95" t="s">
        <v>2999</v>
      </c>
      <c r="AM25" s="95" t="s">
        <v>2998</v>
      </c>
      <c r="AN25" s="95" t="s">
        <v>3005</v>
      </c>
      <c r="AO25" s="95" t="s">
        <v>3007</v>
      </c>
      <c r="AP25" s="95" t="s">
        <v>3003</v>
      </c>
      <c r="AQ25" s="95" t="s">
        <v>3000</v>
      </c>
      <c r="AR25" s="95" t="s">
        <v>3006</v>
      </c>
      <c r="AS25" s="95" t="s">
        <v>3002</v>
      </c>
      <c r="AT25" s="95" t="s">
        <v>3001</v>
      </c>
      <c r="AU25" s="95" t="s">
        <v>3008</v>
      </c>
      <c r="AV25" s="95" t="s">
        <v>3004</v>
      </c>
      <c r="AW25" s="95" t="s">
        <v>2995</v>
      </c>
      <c r="AX25" s="95" t="s">
        <v>2996</v>
      </c>
      <c r="AY25" s="95" t="s">
        <v>2997</v>
      </c>
      <c r="AZ25" s="119"/>
      <c r="BA25" s="119"/>
      <c r="BB25" s="119"/>
      <c r="BC25" s="96">
        <f>IF($N$20=1,AL25,IF($N$20=2,AM25,IF($N$20=3,AN25,IF($N$20=4,AO25,IF($N$20=5,AP25,IF($N$20=6,AQ25,IF($N$20=7,AR25,IF($N$20=8,AS25,IF($N$20=9,AT25,IF($N$20=10,AU25,IF($N$20=11,AV25,IF($N$20=12,AW25,IF($N$20=13,AX25,IF($N$20=14,AY25,IF($N$20=15,AZ25,IF($N$20=16,BA25,IF($N$20=17,BB25,0)))))))))))))))))</f>
        <v>0</v>
      </c>
    </row>
    <row r="26" spans="1:55" ht="32.1" customHeight="1">
      <c r="A26" s="164"/>
      <c r="B26" s="209" t="str">
        <f>VLOOKUP("kg",Sprachindex!A:Z,Info!$O$6,FALSE)</f>
        <v>kg</v>
      </c>
      <c r="C26" s="182"/>
      <c r="D26" s="136">
        <f t="shared" si="1"/>
        <v>0</v>
      </c>
      <c r="E26" s="309" t="str">
        <f>VLOOKUP("Prefalz Farbaluminiumband 0,7 × 1.000 mm (für Zusatzverblechungen)",Sprachindex!A:Z,Info!$O$6,FALSE)</f>
        <v>Prefalz Farbaluminiumband 0,7 × 1.000 mm (für Zusatzverblechungen)</v>
      </c>
      <c r="F26" s="310"/>
      <c r="G26" s="310"/>
      <c r="H26" s="310"/>
      <c r="I26" s="310"/>
      <c r="J26" s="310"/>
      <c r="K26" s="311"/>
      <c r="L26" s="137" t="str">
        <f t="shared" si="0"/>
        <v/>
      </c>
      <c r="M26" s="183"/>
      <c r="N26" s="123"/>
      <c r="O26" s="25"/>
      <c r="P26" s="11"/>
      <c r="Q26" s="11" t="str">
        <f>ROUNDUP(A26/60,0)*1 &amp; " " &amp; R26 &amp; "                         (" &amp;ROUNDUP(A26/60,0)*60&amp;" " &amp; B26 &amp; ")"</f>
        <v>0 Rolle                         (0 kg)</v>
      </c>
      <c r="R26" s="11" t="str">
        <f>IF(A26&gt;60, Formeln!$A$128, Formeln!$A$127)</f>
        <v>Rolle</v>
      </c>
      <c r="T26" s="95" t="s">
        <v>2943</v>
      </c>
      <c r="U26" s="95" t="s">
        <v>2940</v>
      </c>
      <c r="V26" s="95" t="s">
        <v>2947</v>
      </c>
      <c r="W26" s="95" t="s">
        <v>2945</v>
      </c>
      <c r="X26" s="95" t="s">
        <v>2941</v>
      </c>
      <c r="Y26" s="95" t="s">
        <v>2942</v>
      </c>
      <c r="Z26" s="95" t="s">
        <v>2944</v>
      </c>
      <c r="AA26" s="95" t="s">
        <v>2964</v>
      </c>
      <c r="AB26" s="95" t="s">
        <v>2946</v>
      </c>
      <c r="AC26" s="95" t="s">
        <v>2949</v>
      </c>
      <c r="AD26" s="95" t="s">
        <v>2950</v>
      </c>
      <c r="AE26" s="95" t="s">
        <v>2960</v>
      </c>
      <c r="AF26" s="95" t="s">
        <v>2963</v>
      </c>
      <c r="AG26" s="95" t="s">
        <v>2948</v>
      </c>
      <c r="AH26" s="95" t="s">
        <v>2962</v>
      </c>
      <c r="AI26" s="95" t="s">
        <v>2959</v>
      </c>
      <c r="AJ26" s="95" t="s">
        <v>2961</v>
      </c>
      <c r="AK26" s="96">
        <f>IF($N$20=1,T26,IF($N$20=2,U26,IF($N$20=3,V26,IF($N$20=4,W26,IF($N$20=5,X26,IF($N$20=6,Y26,IF($N$20=7,Z26,IF($N$20=8,AA26,IF($N$20=9,AB26,IF($N$20=10,AC26,IF($N$20=11,AD26,IF($N$20=12,AE26,IF($N$20=13,AF26,IF($N$20=14,AG26,IF($N$20=15,AH26,IF($N$20=16,AI26,IF($N$20=17,AJ26,0)))))))))))))))))</f>
        <v>0</v>
      </c>
      <c r="AL26" s="95" t="s">
        <v>2969</v>
      </c>
      <c r="AM26" s="95" t="s">
        <v>2968</v>
      </c>
      <c r="AN26" s="95" t="s">
        <v>2975</v>
      </c>
      <c r="AO26" s="95" t="s">
        <v>2977</v>
      </c>
      <c r="AP26" s="95" t="s">
        <v>2973</v>
      </c>
      <c r="AQ26" s="95" t="s">
        <v>2970</v>
      </c>
      <c r="AR26" s="95" t="s">
        <v>2976</v>
      </c>
      <c r="AS26" s="95" t="s">
        <v>2972</v>
      </c>
      <c r="AT26" s="95" t="s">
        <v>2971</v>
      </c>
      <c r="AU26" s="95" t="s">
        <v>2978</v>
      </c>
      <c r="AV26" s="95" t="s">
        <v>2974</v>
      </c>
      <c r="AW26" s="95" t="s">
        <v>2965</v>
      </c>
      <c r="AX26" s="95" t="s">
        <v>2966</v>
      </c>
      <c r="AY26" s="95" t="s">
        <v>2967</v>
      </c>
      <c r="AZ26" s="119"/>
      <c r="BA26" s="119"/>
      <c r="BB26" s="119"/>
      <c r="BC26" s="96">
        <f>IF($N$20=1,AL26,IF($N$20=2,AM26,IF($N$20=3,AN26,IF($N$20=4,AO26,IF($N$20=5,AP26,IF($N$20=6,AQ26,IF($N$20=7,AR26,IF($N$20=8,AS26,IF($N$20=9,AT26,IF($N$20=10,AU26,IF($N$20=11,AV26,IF($N$20=12,AW26,IF($N$20=13,AX26,IF($N$20=14,AY26,IF($N$20=15,AZ26,IF($N$20=16,BA26,IF($N$20=17,BB26,0)))))))))))))))))</f>
        <v>0</v>
      </c>
    </row>
    <row r="27" spans="1:55" ht="32.1" customHeight="1">
      <c r="A27" s="164"/>
      <c r="B27" s="137" t="str">
        <f>VLOOKUP("STK",Sprachindex!A:Z,Info!$O$6,FALSE)</f>
        <v>STK</v>
      </c>
      <c r="C27" s="135"/>
      <c r="D27" s="136">
        <v>534004</v>
      </c>
      <c r="E27" s="264" t="str">
        <f>VLOOKUP("PREFA NIRO Winkelstehfalzhaft",Sprachindex!A:Z,Info!$O$6,FALSE)</f>
        <v>PREFA NIRO Winkelstehfalzhaft</v>
      </c>
      <c r="F27" s="265"/>
      <c r="G27" s="265"/>
      <c r="H27" s="265"/>
      <c r="I27" s="265"/>
      <c r="J27" s="265"/>
      <c r="K27" s="266"/>
      <c r="L27" s="137" t="str">
        <f t="shared" si="0"/>
        <v/>
      </c>
      <c r="M27" s="183"/>
      <c r="N27" s="123"/>
      <c r="O27" s="25"/>
      <c r="P27" s="11"/>
      <c r="Q27" s="11" t="str">
        <f>A27 &amp;" " &amp; VLOOKUP("Stk",Sprachindex!A:Z,Info!$O$6,FALSE)</f>
        <v xml:space="preserve"> STK</v>
      </c>
    </row>
    <row r="28" spans="1:55" ht="32.1" customHeight="1">
      <c r="A28" s="164"/>
      <c r="B28" s="137" t="str">
        <f>VLOOKUP("STK",Sprachindex!A:Z,Info!$O$6,FALSE)</f>
        <v>STK</v>
      </c>
      <c r="C28" s="135"/>
      <c r="D28" s="136">
        <v>535004</v>
      </c>
      <c r="E28" s="264" t="str">
        <f>VLOOKUP("PREFA Niro Winkelschiebehaft, Scharenlänge bis 12 m",Sprachindex!A:Z,Info!$O$6,FALSE)</f>
        <v>PREFA Niro Winkelschiebehaft, Scharenlänge bis 12 m</v>
      </c>
      <c r="F28" s="265"/>
      <c r="G28" s="265"/>
      <c r="H28" s="265"/>
      <c r="I28" s="265"/>
      <c r="J28" s="265"/>
      <c r="K28" s="266"/>
      <c r="L28" s="137" t="str">
        <f t="shared" si="0"/>
        <v/>
      </c>
      <c r="M28" s="183"/>
      <c r="N28" s="123"/>
      <c r="O28" s="25"/>
      <c r="P28" s="11"/>
      <c r="Q28" s="11" t="str">
        <f>A28 &amp;" " &amp; VLOOKUP("Stk",Sprachindex!A:Z,Info!$O$6,FALSE)</f>
        <v xml:space="preserve"> STK</v>
      </c>
    </row>
    <row r="29" spans="1:55" ht="32.1" customHeight="1">
      <c r="A29" s="164"/>
      <c r="B29" s="137" t="str">
        <f>VLOOKUP("STK",Sprachindex!A:Z,Info!$O$6,FALSE)</f>
        <v>STK</v>
      </c>
      <c r="C29" s="135"/>
      <c r="D29" s="136">
        <v>535005</v>
      </c>
      <c r="E29" s="264" t="str">
        <f>VLOOKUP("PREFA Niro Winkellangschiebehaft, Scharenlänge 12 bis 15 m",Sprachindex!A:Z,Info!$O$6,FALSE)</f>
        <v>PREFA Niro Winkellangschiebehaft, Scharenlänge 12 bis 15 m</v>
      </c>
      <c r="F29" s="265"/>
      <c r="G29" s="265"/>
      <c r="H29" s="265"/>
      <c r="I29" s="265"/>
      <c r="J29" s="265"/>
      <c r="K29" s="266"/>
      <c r="L29" s="137" t="str">
        <f t="shared" si="0"/>
        <v/>
      </c>
      <c r="M29" s="183"/>
      <c r="N29" s="123"/>
      <c r="O29" s="25"/>
      <c r="P29" s="11"/>
      <c r="Q29" s="11" t="str">
        <f>A29 &amp;" " &amp; VLOOKUP("Stk",Sprachindex!A:Z,Info!$O$6,FALSE)</f>
        <v xml:space="preserve"> STK</v>
      </c>
    </row>
    <row r="30" spans="1:55" ht="32.1" customHeight="1">
      <c r="A30" s="164"/>
      <c r="B30" s="137" t="str">
        <f>VLOOKUP("STK",Sprachindex!A:Z,Info!$O$6,FALSE)</f>
        <v>STK</v>
      </c>
      <c r="C30" s="135"/>
      <c r="D30" s="136">
        <v>534001</v>
      </c>
      <c r="E30" s="264" t="str">
        <f>VLOOKUP("PREFA NIRO Hosenhaft",Sprachindex!A:Z,Info!$O$6,FALSE)</f>
        <v>PREFA NIRO Hosenhaft</v>
      </c>
      <c r="F30" s="265"/>
      <c r="G30" s="265"/>
      <c r="H30" s="265"/>
      <c r="I30" s="265"/>
      <c r="J30" s="265"/>
      <c r="K30" s="266"/>
      <c r="L30" s="137" t="str">
        <f t="shared" si="0"/>
        <v/>
      </c>
      <c r="M30" s="183"/>
      <c r="N30" s="123"/>
      <c r="O30" s="25"/>
      <c r="P30" s="11"/>
      <c r="Q30" s="11" t="str">
        <f>A30 &amp;" " &amp; VLOOKUP("Stk",Sprachindex!A:Z,Info!$O$6,FALSE)</f>
        <v xml:space="preserve"> STK</v>
      </c>
    </row>
    <row r="31" spans="1:55" ht="32.1" customHeight="1" thickBot="1">
      <c r="A31" s="164"/>
      <c r="B31" s="137" t="str">
        <f>VLOOKUP("STK",Sprachindex!A:Z,Info!$O$6,FALSE)</f>
        <v>STK</v>
      </c>
      <c r="C31" s="135"/>
      <c r="D31" s="136">
        <v>535001</v>
      </c>
      <c r="E31" s="264" t="str">
        <f>VLOOKUP("PREFA NIRO Hosenschiebehaft",Sprachindex!A:Z,Info!$O$6,FALSE)</f>
        <v>PREFA NIRO Hosenschiebehaft</v>
      </c>
      <c r="F31" s="265"/>
      <c r="G31" s="265"/>
      <c r="H31" s="265"/>
      <c r="I31" s="265"/>
      <c r="J31" s="265"/>
      <c r="K31" s="266"/>
      <c r="L31" s="137" t="str">
        <f t="shared" si="0"/>
        <v/>
      </c>
      <c r="M31" s="183"/>
      <c r="N31" s="123"/>
      <c r="O31" s="25"/>
      <c r="P31" s="11"/>
      <c r="Q31" s="11" t="str">
        <f>A31 &amp;" " &amp; VLOOKUP("Stk",Sprachindex!A:Z,Info!$O$6,FALSE)</f>
        <v xml:space="preserve"> STK</v>
      </c>
      <c r="R31" s="8">
        <f>IF(H31=Formeln!A2,570,IF(H31=Formeln!A3,480,IF(H31=Formeln!A4,380,0)))</f>
        <v>0</v>
      </c>
    </row>
    <row r="32" spans="1:55" ht="32.1" customHeight="1" thickBot="1">
      <c r="A32" s="164"/>
      <c r="B32" s="137" t="str">
        <f>VLOOKUP("Kg",Sprachindex!A:Z,Info!$O$6,FALSE)</f>
        <v>kg</v>
      </c>
      <c r="C32" s="135"/>
      <c r="D32" s="136">
        <f>IF(H32=Formeln!A2,340397,IF(H32=Formeln!A3,340398,0))</f>
        <v>0</v>
      </c>
      <c r="E32" s="283" t="str">
        <f>VLOOKUP("PREFA Rillennagel NIRO",Sprachindex!A:Z,Info!$O$6,FALSE)</f>
        <v>PREFA Rillennagel NIRO</v>
      </c>
      <c r="F32" s="284"/>
      <c r="G32" s="284"/>
      <c r="H32" s="269"/>
      <c r="I32" s="270"/>
      <c r="J32" s="270"/>
      <c r="K32" s="271"/>
      <c r="L32" s="137" t="str">
        <f t="shared" si="0"/>
        <v/>
      </c>
      <c r="M32" s="183"/>
      <c r="N32" s="123"/>
      <c r="O32" s="25"/>
      <c r="P32" s="57"/>
      <c r="Q32" s="57" t="str">
        <f>ROUNDUP(A32/2.5,0)*2.5 &amp; " " &amp; Formeln!A126 &amp; "                  " &amp; "(="&amp;ROUNDUP(A32/2.5,0)*2.5*R32 &amp;"" &amp; Formeln!A123 &amp; ")"</f>
        <v>0 kg                  (=0STK)</v>
      </c>
      <c r="R32" s="8">
        <f>IF(H32=Formeln!A2,570,IF(H32=Formeln!A3,480,IF(H32=Formeln!A4,380,0)))</f>
        <v>0</v>
      </c>
      <c r="T32" s="89" t="s">
        <v>3015</v>
      </c>
      <c r="U32" s="90" t="s">
        <v>702</v>
      </c>
      <c r="V32" s="90" t="s">
        <v>3021</v>
      </c>
      <c r="W32" s="90" t="s">
        <v>3022</v>
      </c>
      <c r="X32" s="90" t="s">
        <v>3023</v>
      </c>
      <c r="Y32" s="90" t="s">
        <v>3025</v>
      </c>
      <c r="Z32" s="90" t="s">
        <v>1564</v>
      </c>
      <c r="AA32" s="90" t="s">
        <v>3028</v>
      </c>
      <c r="AB32" s="90" t="s">
        <v>3024</v>
      </c>
      <c r="AC32" s="90" t="s">
        <v>3026</v>
      </c>
      <c r="AD32" s="90" t="s">
        <v>3027</v>
      </c>
      <c r="AE32" s="90" t="s">
        <v>1563</v>
      </c>
      <c r="AF32" s="90" t="s">
        <v>3010</v>
      </c>
      <c r="AG32" s="90" t="s">
        <v>3011</v>
      </c>
      <c r="AH32" s="90" t="s">
        <v>3012</v>
      </c>
      <c r="AI32" s="90" t="s">
        <v>3013</v>
      </c>
      <c r="AJ32" s="91" t="s">
        <v>3014</v>
      </c>
    </row>
    <row r="33" spans="1:73" ht="32.1" customHeight="1">
      <c r="A33" s="164"/>
      <c r="B33" s="137" t="str">
        <f>VLOOKUP("STK",Sprachindex!A:Z,Info!$O$6,FALSE)</f>
        <v>STK</v>
      </c>
      <c r="C33" s="135"/>
      <c r="D33" s="136">
        <f>IF($N$20=1,T33,IF($N$20=2,U33,IF($N$20=3,V33,IF($N$20=4,W33,IF($N$20=5,X33,IF($N$20=6,Y33,IF($N$20=7,Z33,IF($N$20=8,AA33,IF($N$20=9,AB33,IF($N$20=10,AC33,IF($N$20=11,AD33,IF($N$20=12,AE33,IF($N$20=13,AF33,IF($N$20=14,AG33,IF($N$20=15,AH33,IF($N$20=16,AI33,IF($N$20=17,AJ33,0)))))))))))))))))</f>
        <v>0</v>
      </c>
      <c r="E33" s="264" t="str">
        <f>VLOOKUP("PREFA Froschmaullukenhaube zum Aufnieten, Lüftungsquerschnitt ca. 30 cm²",Sprachindex!A:Z,Info!$O$6,FALSE)</f>
        <v>PREFA Froschmaullukenhaube zum Aufnieten, Lüftungsquerschnitt ca. 30 cm²</v>
      </c>
      <c r="F33" s="265"/>
      <c r="G33" s="265"/>
      <c r="H33" s="265"/>
      <c r="I33" s="265"/>
      <c r="J33" s="265"/>
      <c r="K33" s="266"/>
      <c r="L33" s="137" t="str">
        <f t="shared" si="0"/>
        <v/>
      </c>
      <c r="M33" s="183"/>
      <c r="N33" s="123"/>
      <c r="O33" s="25"/>
      <c r="P33" s="11"/>
      <c r="Q33" s="11" t="str">
        <f>A33 &amp;" " &amp; VLOOKUP("Stk",Sprachindex!A:Z,Info!$O$6,FALSE)</f>
        <v xml:space="preserve"> STK</v>
      </c>
      <c r="T33" s="95">
        <v>110103</v>
      </c>
      <c r="U33" s="95">
        <v>110100</v>
      </c>
      <c r="V33" s="95">
        <v>110108</v>
      </c>
      <c r="W33" s="95">
        <v>110105</v>
      </c>
      <c r="X33" s="95">
        <v>110101</v>
      </c>
      <c r="Y33" s="95">
        <v>110102</v>
      </c>
      <c r="Z33" s="95">
        <v>110104</v>
      </c>
      <c r="AA33" s="95">
        <v>110106</v>
      </c>
      <c r="AB33" s="95">
        <v>110107</v>
      </c>
      <c r="AC33" s="95">
        <v>121000</v>
      </c>
      <c r="AD33" s="95">
        <v>121001</v>
      </c>
      <c r="AE33" s="95">
        <v>512014</v>
      </c>
      <c r="AF33" s="95">
        <v>512054</v>
      </c>
    </row>
    <row r="34" spans="1:73" ht="32.1" customHeight="1">
      <c r="A34" s="164"/>
      <c r="B34" s="137" t="str">
        <f>VLOOKUP("lfm",Sprachindex!A:Z,Info!$O$6,FALSE)</f>
        <v>lfm</v>
      </c>
      <c r="C34" s="140"/>
      <c r="D34" s="136">
        <f>IF($N$20=1,T34,IF($N$20=2,U34,IF($N$20=3,V34,IF($N$20=4,W34,IF($N$20=5,X34,IF($N$20=6,Y34,IF($N$20=7,Z34,IF($N$20=8,AA34,IF($N$20=9,AB34,IF($N$20=10,AC34,IF($N$20=11,AD34,IF($N$20=12,AE34,IF($N$20=13,AF34,IF($N$20=14,AG34,IF($N$20=15,AH34,IF($N$20=16,AI34,IF($N$20=17,AJ34,0)))))))))))))))))</f>
        <v>0</v>
      </c>
      <c r="E34" s="264" t="str">
        <f>VLOOKUP("PREFA Einlaufblech 230 × 2.000 × 0,7 mm",Sprachindex!A:Z,Info!$O$6,FALSE)</f>
        <v>PREFA Einlaufblech 230 × 2.000 × 0,7 mm</v>
      </c>
      <c r="F34" s="265"/>
      <c r="G34" s="265"/>
      <c r="H34" s="265"/>
      <c r="I34" s="265"/>
      <c r="J34" s="265"/>
      <c r="K34" s="266"/>
      <c r="L34" s="137" t="str">
        <f t="shared" si="0"/>
        <v/>
      </c>
      <c r="M34" s="183"/>
      <c r="N34" s="123"/>
      <c r="O34" s="25"/>
      <c r="P34" s="11"/>
      <c r="Q34" s="11" t="str">
        <f>ROUNDUP(A34/2,0)*2 &amp;" " &amp; VLOOKUP("lfm",Sprachindex!A:Z,Info!$O$6,FALSE)</f>
        <v>0 lfm</v>
      </c>
      <c r="T34" s="95">
        <v>563005</v>
      </c>
      <c r="U34" s="95">
        <v>563004</v>
      </c>
      <c r="V34" s="95">
        <v>563017</v>
      </c>
      <c r="W34" s="95">
        <v>563007</v>
      </c>
      <c r="X34" s="95">
        <v>563006</v>
      </c>
      <c r="Y34" s="95">
        <v>563001</v>
      </c>
      <c r="Z34" s="95"/>
      <c r="AA34" s="95">
        <v>563016</v>
      </c>
      <c r="AB34" s="95">
        <v>563011</v>
      </c>
      <c r="AC34" s="95">
        <v>563013</v>
      </c>
      <c r="AD34" s="95">
        <v>563012</v>
      </c>
      <c r="AE34" s="95">
        <v>563002</v>
      </c>
      <c r="AF34" s="95">
        <v>563007</v>
      </c>
    </row>
    <row r="35" spans="1:73" ht="32.1" customHeight="1" thickBot="1">
      <c r="A35" s="164"/>
      <c r="B35" s="137" t="str">
        <f>VLOOKUP("lfm",Sprachindex!A:Z,Info!$O$6,FALSE)</f>
        <v>lfm</v>
      </c>
      <c r="C35" s="135"/>
      <c r="D35" s="136">
        <v>507300</v>
      </c>
      <c r="E35" s="264" t="str">
        <f>VLOOKUP("PREFA Vogelschutzgitter 125 × 2.000 × 0,7 mm",Sprachindex!A:Z,Info!$O$6,FALSE)</f>
        <v>PREFA Vogelschutzgitter 125 × 2.000 × 0,7 mm</v>
      </c>
      <c r="F35" s="265"/>
      <c r="G35" s="265"/>
      <c r="H35" s="265"/>
      <c r="I35" s="265"/>
      <c r="J35" s="265"/>
      <c r="K35" s="266"/>
      <c r="L35" s="137" t="str">
        <f t="shared" si="0"/>
        <v/>
      </c>
      <c r="M35" s="183"/>
      <c r="N35" s="123"/>
      <c r="O35" s="25"/>
      <c r="P35" s="11"/>
      <c r="Q35" s="11" t="str">
        <f>ROUNDUP(A35/2,0)*2 &amp;" " &amp; VLOOKUP("lfm",Sprachindex!A:Z,Info!$O$6,FALSE)</f>
        <v>0 lfm</v>
      </c>
    </row>
    <row r="36" spans="1:73" ht="32.1" customHeight="1" thickBot="1">
      <c r="A36" s="164"/>
      <c r="B36" s="137" t="str">
        <f>VLOOKUP("lfm",Sprachindex!A:Z,Info!$O$6,FALSE)</f>
        <v>lfm</v>
      </c>
      <c r="C36" s="135"/>
      <c r="D36" s="136">
        <f>IF(H36=Formeln!A10,507400,IF(H36=Formeln!A11,507401,IF(H36=Formeln!A12,507410,IF(H36=Formeln!A13,507411,0))))</f>
        <v>0</v>
      </c>
      <c r="E36" s="264" t="str">
        <f>VLOOKUP("PREFA Lüftungsband",Sprachindex!A:Z,Info!$O$6,FALSE)</f>
        <v>PREFA Lüftungsband</v>
      </c>
      <c r="F36" s="265"/>
      <c r="G36" s="265"/>
      <c r="H36" s="269"/>
      <c r="I36" s="270"/>
      <c r="J36" s="270"/>
      <c r="K36" s="271"/>
      <c r="L36" s="137" t="str">
        <f t="shared" si="0"/>
        <v/>
      </c>
      <c r="M36" s="183"/>
      <c r="N36" s="123"/>
      <c r="O36" s="25"/>
      <c r="P36" s="11"/>
      <c r="Q36" s="11" t="str">
        <f>ROUNDUP(A36/40,0)*40 &amp;" " &amp; VLOOKUP("lfm",Sprachindex!A:Z,Info!$O$6,FALSE)</f>
        <v>0 lfm</v>
      </c>
      <c r="T36" s="89" t="s">
        <v>3015</v>
      </c>
      <c r="U36" s="90" t="s">
        <v>702</v>
      </c>
      <c r="V36" s="90" t="s">
        <v>3021</v>
      </c>
      <c r="W36" s="90" t="s">
        <v>3022</v>
      </c>
      <c r="X36" s="90" t="s">
        <v>3023</v>
      </c>
      <c r="Y36" s="90" t="s">
        <v>3025</v>
      </c>
      <c r="Z36" s="90" t="s">
        <v>1564</v>
      </c>
      <c r="AA36" s="90" t="s">
        <v>3028</v>
      </c>
      <c r="AB36" s="90" t="s">
        <v>3024</v>
      </c>
      <c r="AC36" s="90" t="s">
        <v>3026</v>
      </c>
      <c r="AD36" s="90" t="s">
        <v>3027</v>
      </c>
      <c r="AE36" s="90" t="s">
        <v>1563</v>
      </c>
      <c r="AF36" s="90" t="s">
        <v>3010</v>
      </c>
      <c r="AG36" s="90" t="s">
        <v>3011</v>
      </c>
      <c r="AH36" s="90" t="s">
        <v>3012</v>
      </c>
      <c r="AI36" s="90" t="s">
        <v>3013</v>
      </c>
      <c r="AJ36" s="91" t="s">
        <v>3014</v>
      </c>
      <c r="AL36" s="89" t="s">
        <v>3015</v>
      </c>
      <c r="AM36" s="90" t="s">
        <v>702</v>
      </c>
      <c r="AN36" s="90" t="s">
        <v>3021</v>
      </c>
      <c r="AO36" s="90" t="s">
        <v>3022</v>
      </c>
      <c r="AP36" s="90" t="s">
        <v>3023</v>
      </c>
      <c r="AQ36" s="90" t="s">
        <v>3025</v>
      </c>
      <c r="AR36" s="90" t="s">
        <v>1564</v>
      </c>
      <c r="AS36" s="90" t="s">
        <v>3028</v>
      </c>
      <c r="AT36" s="90" t="s">
        <v>3024</v>
      </c>
      <c r="AU36" s="90" t="s">
        <v>3026</v>
      </c>
      <c r="AV36" s="90" t="s">
        <v>3027</v>
      </c>
      <c r="AW36" s="90" t="s">
        <v>1563</v>
      </c>
      <c r="AX36" s="90" t="s">
        <v>3010</v>
      </c>
      <c r="AY36" s="90" t="s">
        <v>3011</v>
      </c>
      <c r="AZ36" s="90" t="s">
        <v>3012</v>
      </c>
      <c r="BA36" s="90" t="s">
        <v>3013</v>
      </c>
      <c r="BB36" s="91" t="s">
        <v>3014</v>
      </c>
      <c r="BD36" s="89" t="s">
        <v>3015</v>
      </c>
      <c r="BE36" s="90" t="s">
        <v>702</v>
      </c>
      <c r="BF36" s="90" t="s">
        <v>3021</v>
      </c>
      <c r="BG36" s="90" t="s">
        <v>3022</v>
      </c>
      <c r="BH36" s="90" t="s">
        <v>3023</v>
      </c>
      <c r="BI36" s="90" t="s">
        <v>3025</v>
      </c>
      <c r="BJ36" s="90" t="s">
        <v>1564</v>
      </c>
      <c r="BK36" s="90" t="s">
        <v>3028</v>
      </c>
      <c r="BL36" s="90" t="s">
        <v>3024</v>
      </c>
      <c r="BM36" s="90" t="s">
        <v>3026</v>
      </c>
      <c r="BN36" s="90" t="s">
        <v>3027</v>
      </c>
      <c r="BO36" s="90" t="s">
        <v>1563</v>
      </c>
      <c r="BP36" s="90" t="s">
        <v>3010</v>
      </c>
      <c r="BQ36" s="90" t="s">
        <v>3011</v>
      </c>
      <c r="BR36" s="90" t="s">
        <v>3012</v>
      </c>
      <c r="BS36" s="90" t="s">
        <v>3013</v>
      </c>
      <c r="BT36" s="91" t="s">
        <v>3014</v>
      </c>
    </row>
    <row r="37" spans="1:73" ht="32.1" customHeight="1">
      <c r="A37" s="164"/>
      <c r="B37" s="137" t="str">
        <f>VLOOKUP("STK",Sprachindex!A:Z,Info!$O$6,FALSE)</f>
        <v>STK</v>
      </c>
      <c r="C37" s="135"/>
      <c r="D37" s="136">
        <f>IF($N$20=1,T37,IF($N$20=2,U37,IF($N$20=3,V37,IF($N$20=4,W37,IF($N$20=5,X37,IF($N$20=6,Y37,IF($N$20=7,Z37,IF($N$20=8,AA37,IF($N$20=9,AB37,IF($N$20=10,AC37,IF($N$20=11,AD37,IF($N$20=12,AE37,IF($N$20=13,AF37,IF($N$20=14,AG37,IF($N$20=15,AH37,IF($N$20=16,AI37,IF($N$20=17,AJ37,0)))))))))))))))))</f>
        <v>0</v>
      </c>
      <c r="E37" s="264" t="str">
        <f>VLOOKUP("PREFA Entlüftungsrohr ⌀ 100",Sprachindex!A:Z,Info!$O$6,FALSE)</f>
        <v>PREFA Entlüftungsrohr ⌀ 100</v>
      </c>
      <c r="F37" s="265"/>
      <c r="G37" s="265"/>
      <c r="H37" s="265"/>
      <c r="I37" s="265"/>
      <c r="J37" s="265"/>
      <c r="K37" s="266"/>
      <c r="L37" s="137" t="str">
        <f t="shared" si="0"/>
        <v/>
      </c>
      <c r="M37" s="183"/>
      <c r="N37" s="123"/>
      <c r="O37" s="25"/>
      <c r="P37" s="11"/>
      <c r="Q37" s="11" t="str">
        <f>A37 &amp;" " &amp; VLOOKUP("Stk",Sprachindex!A:Z,Info!$O$6,FALSE)</f>
        <v xml:space="preserve"> STK</v>
      </c>
      <c r="T37" s="95">
        <v>110203</v>
      </c>
      <c r="U37" s="95">
        <v>110200</v>
      </c>
      <c r="V37" s="95">
        <v>110208</v>
      </c>
      <c r="W37" s="95">
        <v>110205</v>
      </c>
      <c r="X37" s="95">
        <v>110201</v>
      </c>
      <c r="Y37" s="95">
        <v>110202</v>
      </c>
      <c r="Z37" s="95">
        <v>110204</v>
      </c>
      <c r="AA37" s="95">
        <v>110206</v>
      </c>
      <c r="AB37" s="95">
        <v>110207</v>
      </c>
      <c r="AC37" s="95" t="s">
        <v>1575</v>
      </c>
      <c r="AD37" s="95" t="s">
        <v>1574</v>
      </c>
      <c r="AE37" s="95" t="s">
        <v>1571</v>
      </c>
      <c r="AF37" s="95"/>
    </row>
    <row r="38" spans="1:73" ht="32.1" customHeight="1">
      <c r="A38" s="164"/>
      <c r="B38" s="137" t="str">
        <f>VLOOKUP("STK",Sprachindex!A:Z,Info!$O$6,FALSE)</f>
        <v>STK</v>
      </c>
      <c r="C38" s="135"/>
      <c r="D38" s="136">
        <f>IF($N$20=1,T38,IF($N$20=2,U38,IF($N$20=3,V38,IF($N$20=4,W38,IF($N$20=5,X38,IF($N$20=6,Y38,IF($N$20=7,Z38,IF($N$20=8,AA38,IF($N$20=9,AB38,IF($N$20=10,AC38,IF($N$20=11,AD38,IF($N$20=12,AE38,IF($N$20=13,AF38,IF($N$20=14,AG38,IF($N$20=15,AH38,IF($N$20=16,AI38,IF($N$20=17,AJ38,0)))))))))))))))))</f>
        <v>0</v>
      </c>
      <c r="E38" s="264" t="str">
        <f>VLOOKUP("PREFA Entlüftungsrohr ⌀ 120",Sprachindex!A:Z,Info!$O$6,FALSE)</f>
        <v>PREFA Entlüftungsrohr ⌀ 120</v>
      </c>
      <c r="F38" s="265"/>
      <c r="G38" s="265"/>
      <c r="H38" s="265"/>
      <c r="I38" s="265"/>
      <c r="J38" s="265"/>
      <c r="K38" s="266"/>
      <c r="L38" s="137" t="str">
        <f t="shared" si="0"/>
        <v/>
      </c>
      <c r="M38" s="183"/>
      <c r="N38" s="123"/>
      <c r="O38" s="25"/>
      <c r="P38" s="11"/>
      <c r="Q38" s="11" t="str">
        <f>A38 &amp;" " &amp; VLOOKUP("Stk",Sprachindex!A:Z,Info!$O$6,FALSE)</f>
        <v xml:space="preserve"> STK</v>
      </c>
      <c r="T38" s="95">
        <v>110213</v>
      </c>
      <c r="U38" s="95">
        <v>110210</v>
      </c>
      <c r="V38" s="95">
        <v>110218</v>
      </c>
      <c r="W38" s="95">
        <v>110215</v>
      </c>
      <c r="X38" s="95">
        <v>110211</v>
      </c>
      <c r="Y38" s="95">
        <v>110212</v>
      </c>
      <c r="Z38" s="95">
        <v>110214</v>
      </c>
      <c r="AA38" s="95">
        <v>110216</v>
      </c>
      <c r="AB38" s="95" t="s">
        <v>1577</v>
      </c>
      <c r="AC38" s="95" t="s">
        <v>1576</v>
      </c>
      <c r="AD38" s="95" t="s">
        <v>1573</v>
      </c>
      <c r="AE38" s="95" t="s">
        <v>1572</v>
      </c>
      <c r="AF38" s="95"/>
      <c r="AJ38" s="97" t="s">
        <v>1565</v>
      </c>
      <c r="AK38" s="1" t="s">
        <v>85</v>
      </c>
      <c r="BB38" s="97" t="s">
        <v>1565</v>
      </c>
      <c r="BC38" s="1" t="s">
        <v>84</v>
      </c>
      <c r="BU38" s="97" t="s">
        <v>1566</v>
      </c>
    </row>
    <row r="39" spans="1:73" ht="32.1" customHeight="1" thickBot="1">
      <c r="A39" s="164"/>
      <c r="B39" s="137" t="str">
        <f>VLOOKUP("STK",Sprachindex!A:Z,Info!$O$6,FALSE)</f>
        <v>STK</v>
      </c>
      <c r="C39" s="135"/>
      <c r="D39" s="136">
        <f>IF(AND(N8=2,H39=Formeln!A144),AK39,IF(AND(N8=1,H39=Formeln!A144),BC39,IF(H39=Formeln!A145,426003,IF(H39=Formeln!A146,BU39,0))))</f>
        <v>0</v>
      </c>
      <c r="E39" s="264" t="str">
        <f>VLOOKUP("PREFA Dachlukendeckel",Sprachindex!A:Z,Info!$O$6,FALSE)</f>
        <v>PREFA Dachlukendeckel</v>
      </c>
      <c r="F39" s="265"/>
      <c r="G39" s="265"/>
      <c r="H39" s="269"/>
      <c r="I39" s="270"/>
      <c r="J39" s="270"/>
      <c r="K39" s="271"/>
      <c r="L39" s="137" t="str">
        <f t="shared" si="0"/>
        <v/>
      </c>
      <c r="M39" s="183"/>
      <c r="N39" s="123"/>
      <c r="O39" s="25"/>
      <c r="P39" s="11"/>
      <c r="Q39" s="11" t="str">
        <f>A39 &amp;" " &amp; VLOOKUP("Stk",Sprachindex!A:Z,Info!$O$6,FALSE)</f>
        <v xml:space="preserve"> STK</v>
      </c>
      <c r="T39" s="95">
        <v>110023</v>
      </c>
      <c r="U39" s="95">
        <v>110020</v>
      </c>
      <c r="V39" s="95">
        <v>110028</v>
      </c>
      <c r="W39" s="95">
        <v>110025</v>
      </c>
      <c r="X39" s="95">
        <v>110021</v>
      </c>
      <c r="Y39" s="95">
        <v>110022</v>
      </c>
      <c r="Z39" s="95">
        <v>110024</v>
      </c>
      <c r="AA39" s="95">
        <v>110026</v>
      </c>
      <c r="AB39" s="95">
        <v>110027</v>
      </c>
      <c r="AC39" s="95">
        <v>121050</v>
      </c>
      <c r="AD39" s="95">
        <v>121051</v>
      </c>
      <c r="AE39" s="95">
        <v>511033</v>
      </c>
      <c r="AJ39" s="97"/>
      <c r="AK39" s="96">
        <f>IF($N$20=1,T39,IF($N$20=2,U39,IF($N$20=3,V39,IF($N$20=4,W39,IF($N$20=5,X39,IF($N$20=6,Y39,IF($N$20=7,Z39,IF($N$20=8,AA39,IF($N$20=9,AB39,IF($N$20=10,AC39,IF($N$20=11,AD39,IF($N$20=12,AE39,IF($N$20=13,AF39,IF($N$20=14,AG39,IF($N$20=15,AH39,IF($N$20=16,AI39,IF($N$20=17,AJ39,0)))))))))))))))))</f>
        <v>0</v>
      </c>
      <c r="AL39" s="95">
        <v>110033</v>
      </c>
      <c r="AM39" s="95">
        <v>110030</v>
      </c>
      <c r="AN39" s="95">
        <v>110038</v>
      </c>
      <c r="AO39" s="95">
        <v>110035</v>
      </c>
      <c r="AP39" s="95">
        <v>110031</v>
      </c>
      <c r="AQ39" s="95">
        <v>110032</v>
      </c>
      <c r="AR39" s="95">
        <v>110034</v>
      </c>
      <c r="AS39" s="95">
        <v>110036</v>
      </c>
      <c r="AT39" s="95">
        <v>110037</v>
      </c>
      <c r="AW39" s="95">
        <v>511230</v>
      </c>
      <c r="BC39" s="96">
        <f>IF($N$20=1,AL39,IF($N$20=2,AM39,IF($N$20=3,AN39,IF($N$20=4,AO39,IF($N$20=5,AP39,IF($N$20=6,AQ39,IF($N$20=7,AR39,IF($N$20=8,AS39,IF($N$20=9,AT39,IF($N$20=10,AU39,IF($N$20=11,AV39,IF($N$20=12,AW39,IF($N$20=13,AX39,IF($N$20=14,AY39,IF($N$20=15,AZ39,IF($N$20=16,BA39,IF($N$20=17,BB39,0)))))))))))))))))</f>
        <v>0</v>
      </c>
      <c r="BD39" s="98">
        <v>120243</v>
      </c>
      <c r="BE39" s="98">
        <v>120240</v>
      </c>
      <c r="BF39" s="98">
        <v>120248</v>
      </c>
      <c r="BG39" s="98">
        <v>120245</v>
      </c>
      <c r="BH39" s="98">
        <v>120241</v>
      </c>
      <c r="BI39" s="98">
        <v>120242</v>
      </c>
      <c r="BJ39" s="98">
        <v>120244</v>
      </c>
      <c r="BK39" s="98">
        <v>120246</v>
      </c>
      <c r="BL39" s="98">
        <v>120247</v>
      </c>
      <c r="BM39" s="95">
        <v>121050</v>
      </c>
      <c r="BN39" s="95">
        <v>121051</v>
      </c>
      <c r="BO39" s="98">
        <v>537730</v>
      </c>
      <c r="BU39" s="96">
        <f>IF($N$20=1,BD39,IF($N$20=2,BE39,IF($N$20=3,BF39,IF($N$20=4,BG39,IF($N$20=5,BH39,IF($N$20=6,BI39,IF($N$20=7,BJ39,IF($N$20=8,BK39,IF($N$20=9,BL39,IF($N$20=10,BM39,IF($N$20=11,BN39,IF($N$20=12,BO39,IF($N$20=13,BP39,IF($N$20=14,BQ39,IF($N$20=15,BR39,IF($N$20=16,BS39,IF($N$20=17,BT39,0)))))))))))))))))</f>
        <v>0</v>
      </c>
    </row>
    <row r="40" spans="1:73" ht="32.1" customHeight="1" thickBot="1">
      <c r="A40" s="164"/>
      <c r="B40" s="137" t="str">
        <f>VLOOKUP("STK",Sprachindex!A:Z,Info!$O$6,FALSE)</f>
        <v>STK</v>
      </c>
      <c r="C40" s="135"/>
      <c r="D40" s="136">
        <v>420510</v>
      </c>
      <c r="E40" s="264" t="str">
        <f>VLOOKUP("PREFA Falzgel",Sprachindex!A:Z,Info!$O$6,FALSE)</f>
        <v>PREFA Falzgel</v>
      </c>
      <c r="F40" s="265"/>
      <c r="G40" s="265"/>
      <c r="H40" s="265"/>
      <c r="I40" s="265"/>
      <c r="J40" s="265"/>
      <c r="K40" s="266"/>
      <c r="L40" s="137" t="str">
        <f t="shared" si="0"/>
        <v/>
      </c>
      <c r="M40" s="183"/>
      <c r="N40" s="123"/>
      <c r="O40" s="25"/>
      <c r="P40" s="57"/>
      <c r="Q40" s="57" t="str">
        <f>ROUNDUP(A40/1,0)*1 &amp;" " &amp; VLOOKUP("Stk",Sprachindex!A:Z,Info!$O$6,FALSE)</f>
        <v>0 STK</v>
      </c>
      <c r="R40" s="6"/>
      <c r="T40" s="89" t="s">
        <v>3015</v>
      </c>
      <c r="U40" s="90" t="s">
        <v>702</v>
      </c>
      <c r="V40" s="90" t="s">
        <v>3021</v>
      </c>
      <c r="W40" s="90" t="s">
        <v>3022</v>
      </c>
      <c r="X40" s="90" t="s">
        <v>3023</v>
      </c>
      <c r="Y40" s="90" t="s">
        <v>3025</v>
      </c>
      <c r="Z40" s="90" t="s">
        <v>1564</v>
      </c>
      <c r="AA40" s="90" t="s">
        <v>3028</v>
      </c>
      <c r="AB40" s="90" t="s">
        <v>3024</v>
      </c>
      <c r="AC40" s="90" t="s">
        <v>3026</v>
      </c>
      <c r="AD40" s="90" t="s">
        <v>3027</v>
      </c>
      <c r="AE40" s="90" t="s">
        <v>1563</v>
      </c>
      <c r="AF40" s="90" t="s">
        <v>3010</v>
      </c>
      <c r="AG40" s="90" t="s">
        <v>3011</v>
      </c>
      <c r="AH40" s="90" t="s">
        <v>3012</v>
      </c>
      <c r="AI40" s="90" t="s">
        <v>3013</v>
      </c>
      <c r="AJ40" s="91" t="s">
        <v>3014</v>
      </c>
      <c r="AL40" s="89" t="s">
        <v>3015</v>
      </c>
      <c r="AM40" s="90" t="s">
        <v>702</v>
      </c>
      <c r="AN40" s="90" t="s">
        <v>3021</v>
      </c>
      <c r="AO40" s="90" t="s">
        <v>3022</v>
      </c>
      <c r="AP40" s="90" t="s">
        <v>3023</v>
      </c>
      <c r="AQ40" s="90" t="s">
        <v>3025</v>
      </c>
      <c r="AR40" s="90" t="s">
        <v>1564</v>
      </c>
      <c r="AS40" s="90" t="s">
        <v>3028</v>
      </c>
      <c r="AT40" s="90" t="s">
        <v>3024</v>
      </c>
      <c r="AU40" s="90" t="s">
        <v>3026</v>
      </c>
      <c r="AV40" s="90" t="s">
        <v>3027</v>
      </c>
      <c r="AW40" s="90" t="s">
        <v>1563</v>
      </c>
      <c r="AX40" s="90" t="s">
        <v>3010</v>
      </c>
      <c r="AY40" s="90" t="s">
        <v>3011</v>
      </c>
      <c r="AZ40" s="90" t="s">
        <v>3012</v>
      </c>
      <c r="BA40" s="90" t="s">
        <v>3013</v>
      </c>
      <c r="BB40" s="91" t="s">
        <v>3014</v>
      </c>
    </row>
    <row r="41" spans="1:73" ht="32.1" customHeight="1">
      <c r="A41" s="164"/>
      <c r="B41" s="137" t="str">
        <f>VLOOKUP("STK",Sprachindex!A:Z,Info!$O$6,FALSE)</f>
        <v>STK</v>
      </c>
      <c r="C41" s="135"/>
      <c r="D41" s="136">
        <f>IF($N$20=1,T41,IF($N$20=2,U41,IF($N$20=3,V41,IF($N$20=4,W41,IF($N$20=5,X41,IF($N$20=6,Y41,IF($N$20=7,Z41,IF($N$20=8,AA41,IF($N$20=9,AB41,IF($N$20=10,AC41,IF($N$20=11,AD41,IF($N$20=12,AE41,IF($N$20=13,AF41,IF($N$20=14,AG41,IF($N$20=15,AH41,IF($N$20=16,AI41,IF($N$20=17,AJ41,0)))))))))))))))))</f>
        <v>0</v>
      </c>
      <c r="E41" s="264" t="str">
        <f>VLOOKUP("PREFA Sailerklemme einfach",Sprachindex!A:Z,Info!$O$6,FALSE)</f>
        <v>PREFA Sailerklemme einfach</v>
      </c>
      <c r="F41" s="265"/>
      <c r="G41" s="265"/>
      <c r="H41" s="265"/>
      <c r="I41" s="265"/>
      <c r="J41" s="265"/>
      <c r="K41" s="266"/>
      <c r="L41" s="137" t="str">
        <f t="shared" si="0"/>
        <v/>
      </c>
      <c r="M41" s="183"/>
      <c r="N41" s="123"/>
      <c r="O41" s="25"/>
      <c r="P41" s="11"/>
      <c r="Q41" s="11" t="str">
        <f>A41 &amp;" " &amp; VLOOKUP("Stk",Sprachindex!A:Z,Info!$O$6,FALSE)</f>
        <v xml:space="preserve"> STK</v>
      </c>
      <c r="T41" s="95">
        <v>120203</v>
      </c>
      <c r="U41" s="95">
        <v>120200</v>
      </c>
      <c r="V41" s="95">
        <v>120208</v>
      </c>
      <c r="W41" s="95">
        <v>120205</v>
      </c>
      <c r="X41" s="95">
        <v>120201</v>
      </c>
      <c r="Y41" s="95">
        <v>120202</v>
      </c>
      <c r="Z41" s="95">
        <v>120204</v>
      </c>
      <c r="AA41" s="95">
        <v>120206</v>
      </c>
      <c r="AB41" s="95">
        <v>120207</v>
      </c>
      <c r="AC41" s="95">
        <v>121100</v>
      </c>
      <c r="AD41" s="95">
        <v>121101</v>
      </c>
      <c r="AE41" s="95">
        <v>649522</v>
      </c>
      <c r="AF41" s="95">
        <v>649548</v>
      </c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</row>
    <row r="42" spans="1:73" ht="32.1" customHeight="1">
      <c r="A42" s="164"/>
      <c r="B42" s="137" t="str">
        <f>VLOOKUP("STK",Sprachindex!A:Z,Info!$O$6,FALSE)</f>
        <v>STK</v>
      </c>
      <c r="C42" s="135"/>
      <c r="D42" s="136">
        <f>IF($N$20=1,T42,IF($N$20=2,U42,IF($N$20=3,V42,IF($N$20=4,W42,IF($N$20=5,X42,IF($N$20=6,Y42,IF($N$20=7,Z42,IF($N$20=8,AA42,IF($N$20=9,AB42,IF($N$20=10,AC42,IF($N$20=11,AD42,IF($N$20=12,AE42,IF($N$20=13,AF42,IF($N$20=14,AG42,IF($N$20=15,AH42,IF($N$20=16,AI42,IF($N$20=17,AJ42,0)))))))))))))))))</f>
        <v>0</v>
      </c>
      <c r="E42" s="264" t="str">
        <f>VLOOKUP("PREFA Sailerklemme für Schrägfalze",Sprachindex!A:Z,Info!$O$6,FALSE)</f>
        <v>PREFA Sailerklemme für Schrägfalze</v>
      </c>
      <c r="F42" s="265"/>
      <c r="G42" s="265"/>
      <c r="H42" s="265"/>
      <c r="I42" s="265"/>
      <c r="J42" s="265"/>
      <c r="K42" s="266"/>
      <c r="L42" s="137" t="str">
        <f t="shared" si="0"/>
        <v/>
      </c>
      <c r="M42" s="183"/>
      <c r="N42" s="123"/>
      <c r="O42" s="25"/>
      <c r="P42" s="11"/>
      <c r="Q42" s="11" t="str">
        <f>A42 &amp;" " &amp; VLOOKUP("Stk",Sprachindex!A:Z,Info!$O$6,FALSE)</f>
        <v xml:space="preserve"> STK</v>
      </c>
      <c r="T42" s="95">
        <v>120223</v>
      </c>
      <c r="U42" s="95">
        <v>120220</v>
      </c>
      <c r="V42" s="95">
        <v>120228</v>
      </c>
      <c r="W42" s="95">
        <v>120225</v>
      </c>
      <c r="X42" s="95">
        <v>120221</v>
      </c>
      <c r="Y42" s="95">
        <v>120222</v>
      </c>
      <c r="Z42" s="95">
        <v>120224</v>
      </c>
      <c r="AA42" s="95">
        <v>120226</v>
      </c>
      <c r="AB42" s="95">
        <v>120227</v>
      </c>
      <c r="AC42" s="95">
        <v>121120</v>
      </c>
      <c r="AD42" s="95">
        <v>121121</v>
      </c>
      <c r="AE42" s="95">
        <v>649700</v>
      </c>
      <c r="AF42" s="95">
        <v>649713</v>
      </c>
    </row>
    <row r="43" spans="1:73" ht="32.1" customHeight="1">
      <c r="A43" s="164"/>
      <c r="B43" s="137" t="str">
        <f>VLOOKUP("Stk",Sprachindex!A:Z,Info!$O$6,FALSE)</f>
        <v>STK</v>
      </c>
      <c r="C43" s="135"/>
      <c r="D43" s="136">
        <f>IF($N$20=1,T43,IF($N$20=2,U43,IF($N$20=3,V43,IF($N$20=4,W43,IF($N$20=5,X43,IF($N$20=6,Y43,IF($N$20=7,Z43,IF($N$20=8,AA43,IF($N$20=9,AB43,IF($N$20=10,AC43,IF($N$20=11,AD43,IF($N$20=12,AE43,IF($N$20=13,AF43,IF($N$20=14,AG43,IF($N$20=15,AH43,IF($N$20=16,AI43,IF($N$20=17,AJ43,0)))))))))))))))))</f>
        <v>0</v>
      </c>
      <c r="E43" s="264" t="str">
        <f>VLOOKUP("PREFA Sailerklemme doppelt",Sprachindex!A:Z,Info!$O$6,FALSE)</f>
        <v>PREFA Sailerklemme doppelt</v>
      </c>
      <c r="F43" s="265"/>
      <c r="G43" s="265"/>
      <c r="H43" s="265"/>
      <c r="I43" s="265"/>
      <c r="J43" s="265"/>
      <c r="K43" s="266"/>
      <c r="L43" s="137" t="str">
        <f t="shared" si="0"/>
        <v/>
      </c>
      <c r="M43" s="183"/>
      <c r="N43" s="123"/>
      <c r="O43" s="25"/>
      <c r="P43" s="11"/>
      <c r="Q43" s="11" t="str">
        <f>A43 &amp;" " &amp; VLOOKUP("Stk",Sprachindex!A:Z,Info!$O$6,FALSE)</f>
        <v xml:space="preserve"> STK</v>
      </c>
      <c r="T43" s="95">
        <v>120213</v>
      </c>
      <c r="U43" s="95">
        <v>120210</v>
      </c>
      <c r="V43" s="95">
        <v>120218</v>
      </c>
      <c r="W43" s="95">
        <v>120215</v>
      </c>
      <c r="X43" s="95">
        <v>120211</v>
      </c>
      <c r="Y43" s="95">
        <v>120212</v>
      </c>
      <c r="Z43" s="95">
        <v>120214</v>
      </c>
      <c r="AA43" s="95">
        <v>120216</v>
      </c>
      <c r="AB43" s="95">
        <v>120217</v>
      </c>
      <c r="AC43" s="95">
        <v>121110</v>
      </c>
      <c r="AD43" s="95">
        <v>121111</v>
      </c>
      <c r="AE43" s="95">
        <v>649521</v>
      </c>
      <c r="AF43" s="95">
        <v>649549</v>
      </c>
      <c r="AM43" s="95"/>
    </row>
    <row r="44" spans="1:73" ht="32.1" customHeight="1">
      <c r="A44" s="164"/>
      <c r="B44" s="137" t="str">
        <f>VLOOKUP("lfm",Sprachindex!A:Z,Info!$O$6,FALSE)</f>
        <v>lfm</v>
      </c>
      <c r="C44" s="135"/>
      <c r="D44" s="136">
        <f>IF($N$20=1,T44,IF($N$20=2,U44,IF($N$20=3,V44,IF($N$20=4,W44,IF($N$20=5,X44,IF($N$20=6,Y44,IF($N$20=7,Z44,IF($N$20=8,AA44,IF($N$20=9,AB44,IF($N$20=10,AC44,IF($N$20=11,AD44,IF($N$20=12,AE44,IF($N$20=13,AF44,IF($N$20=14,AG44,IF($N$20=15,AH44,IF($N$20=16,AI44,IF($N$20=17,AJ44,0)))))))))))))))))</f>
        <v>0</v>
      </c>
      <c r="E44" s="264" t="str">
        <f>VLOOKUP("PREFA Rohr 28 × 2 × 3.000 mm, inkl. Muffe",Sprachindex!A:Z,Info!$O$6,FALSE)</f>
        <v>PREFA Rohr 28 × 2 × 3.000 mm, inkl. Muffe</v>
      </c>
      <c r="F44" s="265"/>
      <c r="G44" s="265"/>
      <c r="H44" s="265"/>
      <c r="I44" s="265"/>
      <c r="J44" s="265"/>
      <c r="K44" s="266"/>
      <c r="L44" s="137" t="str">
        <f t="shared" si="0"/>
        <v/>
      </c>
      <c r="M44" s="183"/>
      <c r="N44" s="123"/>
      <c r="O44" s="25"/>
      <c r="P44" s="11"/>
      <c r="Q44" s="11" t="str">
        <f>ROUNDUP(A44/3,0)*3 &amp;" " &amp; VLOOKUP("lfm",Sprachindex!A:Z,Info!$O$6,FALSE)</f>
        <v>0 lfm</v>
      </c>
      <c r="T44" s="95">
        <v>120323</v>
      </c>
      <c r="U44" s="95">
        <v>120320</v>
      </c>
      <c r="V44" s="95">
        <v>120328</v>
      </c>
      <c r="W44" s="95">
        <v>120325</v>
      </c>
      <c r="X44" s="95">
        <v>120321</v>
      </c>
      <c r="Y44" s="95">
        <v>120322</v>
      </c>
      <c r="Z44" s="95">
        <v>120324</v>
      </c>
      <c r="AA44" s="95">
        <v>120326</v>
      </c>
      <c r="AB44" s="95">
        <v>120327</v>
      </c>
      <c r="AC44" s="95">
        <v>121130</v>
      </c>
      <c r="AD44" s="95">
        <v>121131</v>
      </c>
      <c r="AE44" s="95">
        <v>669503</v>
      </c>
      <c r="AF44" s="95">
        <v>669516</v>
      </c>
    </row>
    <row r="45" spans="1:73" ht="32.1" customHeight="1">
      <c r="A45" s="164"/>
      <c r="B45" s="137" t="str">
        <f>VLOOKUP("Stk",Sprachindex!A:Z,Info!$O$6,FALSE)</f>
        <v>STK</v>
      </c>
      <c r="C45" s="135"/>
      <c r="D45" s="136">
        <f t="shared" ref="D45:D50" si="2">IF($N$20=1,T45,IF($N$20=2,U45,IF($N$20=3,V45,IF($N$20=4,W45,IF($N$20=5,X45,IF($N$20=6,Y45,IF($N$20=7,Z45,IF($N$20=8,AA45,IF($N$20=9,AB45,IF($N$20=10,AC45,IF($N$20=11,AD45,IF($N$20=12,AE45,IF($N$20=13,AF45,IF($N$20=14,AG45,IF($N$20=15,AH45,IF($N$20=16,AI45,IF($N$20=17,AJ45,0)))))))))))))))))</f>
        <v>0</v>
      </c>
      <c r="E45" s="264" t="str">
        <f>VLOOKUP("PREFA Eckverbinder für PREFA Rohr",Sprachindex!A:Z,Info!$O$6,FALSE)</f>
        <v>PREFA Eckverbinder für PREFA Rohr</v>
      </c>
      <c r="F45" s="265"/>
      <c r="G45" s="265"/>
      <c r="H45" s="265"/>
      <c r="I45" s="265"/>
      <c r="J45" s="265"/>
      <c r="K45" s="266"/>
      <c r="L45" s="137" t="str">
        <f t="shared" si="0"/>
        <v/>
      </c>
      <c r="M45" s="183"/>
      <c r="N45" s="123"/>
      <c r="O45" s="25"/>
      <c r="P45" s="11"/>
      <c r="Q45" s="11" t="str">
        <f>A45 &amp;" " &amp; VLOOKUP("Stk",Sprachindex!A:Z,Info!$O$6,FALSE)</f>
        <v xml:space="preserve"> STK</v>
      </c>
      <c r="T45" s="95">
        <v>120373</v>
      </c>
      <c r="U45" s="95">
        <v>120370</v>
      </c>
      <c r="V45" s="95">
        <v>120378</v>
      </c>
      <c r="W45" s="95">
        <v>120375</v>
      </c>
      <c r="X45" s="95">
        <v>120371</v>
      </c>
      <c r="Y45" s="95">
        <v>120372</v>
      </c>
      <c r="Z45" s="95">
        <v>120374</v>
      </c>
      <c r="AA45" s="95">
        <v>120376</v>
      </c>
      <c r="AB45" s="95">
        <v>120377</v>
      </c>
      <c r="AC45" s="95">
        <v>121150</v>
      </c>
      <c r="AD45" s="95">
        <v>121151</v>
      </c>
      <c r="AE45" s="95">
        <v>537150</v>
      </c>
      <c r="AF45" s="95">
        <v>537157</v>
      </c>
    </row>
    <row r="46" spans="1:73" ht="32.1" customHeight="1">
      <c r="A46" s="164"/>
      <c r="B46" s="137" t="str">
        <f>VLOOKUP("Stk",Sprachindex!A:Z,Info!$O$6,FALSE)</f>
        <v>STK</v>
      </c>
      <c r="C46" s="135"/>
      <c r="D46" s="136">
        <f t="shared" si="2"/>
        <v>0</v>
      </c>
      <c r="E46" s="264" t="str">
        <f>VLOOKUP("PREFA Eisfänger",Sprachindex!A:Z,Info!$O$6,FALSE)</f>
        <v>PREFA Eisfänger</v>
      </c>
      <c r="F46" s="265"/>
      <c r="G46" s="265"/>
      <c r="H46" s="265"/>
      <c r="I46" s="265"/>
      <c r="J46" s="265"/>
      <c r="K46" s="266"/>
      <c r="L46" s="137" t="str">
        <f t="shared" si="0"/>
        <v/>
      </c>
      <c r="M46" s="183"/>
      <c r="N46" s="123"/>
      <c r="O46" s="25"/>
      <c r="P46" s="11"/>
      <c r="Q46" s="11" t="str">
        <f>ROUNDUP(A46/1,0)*1 &amp;" " &amp; VLOOKUP("Stk",Sprachindex!A:Z,Info!$O$6,FALSE)</f>
        <v>0 STK</v>
      </c>
      <c r="T46" s="95">
        <v>120343</v>
      </c>
      <c r="U46" s="95">
        <v>120340</v>
      </c>
      <c r="V46" s="95">
        <v>120348</v>
      </c>
      <c r="W46" s="95">
        <v>120345</v>
      </c>
      <c r="X46" s="95">
        <v>120341</v>
      </c>
      <c r="Y46" s="95">
        <v>120342</v>
      </c>
      <c r="Z46" s="95">
        <v>120344</v>
      </c>
      <c r="AA46" s="95">
        <v>120346</v>
      </c>
      <c r="AB46" s="95">
        <v>120347</v>
      </c>
      <c r="AC46" s="95">
        <v>121160</v>
      </c>
      <c r="AD46" s="95">
        <v>121161</v>
      </c>
      <c r="AE46" s="95">
        <v>649600</v>
      </c>
      <c r="AF46" s="95">
        <v>649614</v>
      </c>
    </row>
    <row r="47" spans="1:73" ht="32.1" customHeight="1">
      <c r="A47" s="164"/>
      <c r="B47" s="137" t="str">
        <f>VLOOKUP("Stk",Sprachindex!A:Z,Info!$O$6,FALSE)</f>
        <v>STK</v>
      </c>
      <c r="C47" s="135"/>
      <c r="D47" s="136">
        <f t="shared" si="2"/>
        <v>0</v>
      </c>
      <c r="E47" s="264" t="str">
        <f>VLOOKUP("PREFA Laufstegstütze für Laufstege",Sprachindex!A:Z,Info!$O$6,FALSE)</f>
        <v>PREFA Laufstegstütze für Laufstege</v>
      </c>
      <c r="F47" s="265"/>
      <c r="G47" s="265"/>
      <c r="H47" s="265"/>
      <c r="I47" s="265"/>
      <c r="J47" s="265"/>
      <c r="K47" s="266"/>
      <c r="L47" s="137" t="str">
        <f t="shared" si="0"/>
        <v/>
      </c>
      <c r="M47" s="183"/>
      <c r="N47" s="123"/>
      <c r="O47" s="25"/>
      <c r="P47" s="11"/>
      <c r="Q47" s="11" t="str">
        <f>ROUNDUP(A47/1,0)*1 &amp;" " &amp; VLOOKUP("Stk",Sprachindex!A:Z,Info!$O$6,FALSE)</f>
        <v>0 STK</v>
      </c>
      <c r="T47" s="95">
        <v>120053</v>
      </c>
      <c r="U47" s="95">
        <v>120050</v>
      </c>
      <c r="V47" s="95">
        <v>120058</v>
      </c>
      <c r="W47" s="95">
        <v>120055</v>
      </c>
      <c r="X47" s="95">
        <v>120051</v>
      </c>
      <c r="Y47" s="95">
        <v>120052</v>
      </c>
      <c r="Z47" s="95">
        <v>120054</v>
      </c>
      <c r="AA47" s="95">
        <v>120056</v>
      </c>
      <c r="AB47" s="95">
        <v>120057</v>
      </c>
      <c r="AC47" s="95">
        <v>121090</v>
      </c>
      <c r="AD47" s="95">
        <v>121091</v>
      </c>
      <c r="AE47" s="95">
        <v>649280</v>
      </c>
      <c r="AF47" s="95">
        <v>649294</v>
      </c>
    </row>
    <row r="48" spans="1:73" ht="32.1" customHeight="1">
      <c r="A48" s="164"/>
      <c r="B48" s="137" t="str">
        <f>VLOOKUP("Stk",Sprachindex!A:Z,Info!$O$6,FALSE)</f>
        <v>STK</v>
      </c>
      <c r="C48" s="135"/>
      <c r="D48" s="136">
        <f t="shared" si="2"/>
        <v>0</v>
      </c>
      <c r="E48" s="264" t="str">
        <f>VLOOKUP("PREFA Laufsteg (250 x 1.200 mm)",Sprachindex!A:Z,Info!$O$6,FALSE)</f>
        <v>PREFA Laufsteg (250 x 1.200 mm)</v>
      </c>
      <c r="F48" s="265"/>
      <c r="G48" s="265"/>
      <c r="H48" s="265"/>
      <c r="I48" s="265"/>
      <c r="J48" s="265"/>
      <c r="K48" s="266"/>
      <c r="L48" s="137" t="str">
        <f t="shared" si="0"/>
        <v/>
      </c>
      <c r="M48" s="183"/>
      <c r="N48" s="123"/>
      <c r="O48" s="25"/>
      <c r="P48" s="11"/>
      <c r="Q48" s="11" t="str">
        <f>ROUNDUP(A48/1,0)*1 &amp;" " &amp; VLOOKUP("Stk",Sprachindex!A:Z,Info!$O$6,FALSE)</f>
        <v>0 STK</v>
      </c>
      <c r="T48" s="95">
        <v>120033</v>
      </c>
      <c r="U48" s="95">
        <v>120030</v>
      </c>
      <c r="V48" s="95">
        <v>120038</v>
      </c>
      <c r="W48" s="95">
        <v>120035</v>
      </c>
      <c r="X48" s="95">
        <v>120031</v>
      </c>
      <c r="Y48" s="95">
        <v>120032</v>
      </c>
      <c r="Z48" s="95">
        <v>120034</v>
      </c>
      <c r="AA48" s="95">
        <v>120036</v>
      </c>
      <c r="AB48" s="95">
        <v>120037</v>
      </c>
      <c r="AC48" s="95">
        <v>121080</v>
      </c>
      <c r="AD48" s="95">
        <v>121081</v>
      </c>
      <c r="AE48" s="95">
        <v>649221</v>
      </c>
      <c r="AF48" s="95">
        <v>649253</v>
      </c>
    </row>
    <row r="49" spans="1:47" ht="32.1" customHeight="1">
      <c r="A49" s="164"/>
      <c r="B49" s="137" t="str">
        <f>VLOOKUP("Stk",Sprachindex!A:Z,Info!$O$6,FALSE)</f>
        <v>STK</v>
      </c>
      <c r="C49" s="135"/>
      <c r="D49" s="136">
        <f t="shared" si="2"/>
        <v>0</v>
      </c>
      <c r="E49" s="264" t="str">
        <f>VLOOKUP("PREFA Laufsteg (250 x 800 mm)",Sprachindex!A:Z,Info!$O$6,FALSE)</f>
        <v>PREFA Laufsteg (250 x 800 mm)</v>
      </c>
      <c r="F49" s="265"/>
      <c r="G49" s="265"/>
      <c r="H49" s="265"/>
      <c r="I49" s="265"/>
      <c r="J49" s="265"/>
      <c r="K49" s="266"/>
      <c r="L49" s="137" t="str">
        <f t="shared" si="0"/>
        <v/>
      </c>
      <c r="M49" s="183"/>
      <c r="N49" s="123"/>
      <c r="O49" s="25"/>
      <c r="P49" s="11"/>
      <c r="Q49" s="11" t="str">
        <f>ROUNDUP(A49/1,0)*1 &amp;" " &amp; VLOOKUP("Stk",Sprachindex!A:Z,Info!$O$6,FALSE)</f>
        <v>0 STK</v>
      </c>
      <c r="T49" s="95">
        <v>120023</v>
      </c>
      <c r="U49" s="95">
        <v>120020</v>
      </c>
      <c r="V49" s="95">
        <v>120028</v>
      </c>
      <c r="W49" s="95">
        <v>120025</v>
      </c>
      <c r="X49" s="95">
        <v>120021</v>
      </c>
      <c r="Y49" s="95">
        <v>120022</v>
      </c>
      <c r="Z49" s="95">
        <v>120024</v>
      </c>
      <c r="AA49" s="95">
        <v>120026</v>
      </c>
      <c r="AB49" s="95">
        <v>120027</v>
      </c>
      <c r="AC49" s="95">
        <v>121070</v>
      </c>
      <c r="AD49" s="95">
        <v>121071</v>
      </c>
      <c r="AE49" s="95">
        <v>649050</v>
      </c>
      <c r="AF49" s="95">
        <v>649064</v>
      </c>
    </row>
    <row r="50" spans="1:47" ht="32.1" customHeight="1">
      <c r="A50" s="164"/>
      <c r="B50" s="137" t="str">
        <f>VLOOKUP("Stk",Sprachindex!A:Z,Info!$O$6,FALSE)</f>
        <v>STK</v>
      </c>
      <c r="C50" s="135"/>
      <c r="D50" s="136">
        <f t="shared" si="2"/>
        <v>0</v>
      </c>
      <c r="E50" s="264" t="str">
        <f>VLOOKUP("PREFA Laufsteg (250 x 600 mm)",Sprachindex!A:Z,Info!$O$6,FALSE)</f>
        <v>PREFA Laufsteg (250 x 600 mm)</v>
      </c>
      <c r="F50" s="265"/>
      <c r="G50" s="265"/>
      <c r="H50" s="265"/>
      <c r="I50" s="265"/>
      <c r="J50" s="265"/>
      <c r="K50" s="266"/>
      <c r="L50" s="137" t="str">
        <f t="shared" si="0"/>
        <v/>
      </c>
      <c r="M50" s="183"/>
      <c r="N50" s="123"/>
      <c r="O50" s="25"/>
      <c r="P50" s="11"/>
      <c r="Q50" s="11" t="str">
        <f>ROUNDUP(A50/1,0)*1 &amp;" " &amp; VLOOKUP("Stk",Sprachindex!A:Z,Info!$O$6,FALSE)</f>
        <v>0 STK</v>
      </c>
      <c r="T50" s="95">
        <v>120063</v>
      </c>
      <c r="U50" s="95">
        <v>120060</v>
      </c>
      <c r="V50" s="95">
        <v>120068</v>
      </c>
      <c r="W50" s="95">
        <v>120065</v>
      </c>
      <c r="X50" s="95">
        <v>120061</v>
      </c>
      <c r="Y50" s="95">
        <v>120062</v>
      </c>
      <c r="Z50" s="95">
        <v>120064</v>
      </c>
      <c r="AA50" s="95">
        <v>120066</v>
      </c>
      <c r="AB50" s="95">
        <v>120067</v>
      </c>
      <c r="AC50" s="95">
        <v>121060</v>
      </c>
      <c r="AD50" s="95">
        <v>121061</v>
      </c>
      <c r="AE50" s="95">
        <v>649070</v>
      </c>
      <c r="AF50" s="95">
        <v>649077</v>
      </c>
    </row>
    <row r="51" spans="1:47" ht="32.1" customHeight="1" thickBot="1">
      <c r="A51" s="164"/>
      <c r="B51" s="137" t="str">
        <f>VLOOKUP("Stk",Sprachindex!A:Z,Info!$O$6,FALSE)</f>
        <v>STK</v>
      </c>
      <c r="C51" s="135"/>
      <c r="D51" s="142">
        <v>649001</v>
      </c>
      <c r="E51" s="264" t="str">
        <f>VLOOKUP("PREFA Verbinder verzinkt für Laufsteg",Sprachindex!A:Z,Info!$O$6,FALSE)</f>
        <v>PREFA Verbinder verzinkt für Laufsteg</v>
      </c>
      <c r="F51" s="265"/>
      <c r="G51" s="265"/>
      <c r="H51" s="265"/>
      <c r="I51" s="265"/>
      <c r="J51" s="265"/>
      <c r="K51" s="266"/>
      <c r="L51" s="137" t="str">
        <f t="shared" si="0"/>
        <v/>
      </c>
      <c r="M51" s="183"/>
      <c r="N51" s="123"/>
      <c r="O51" s="25"/>
      <c r="P51" s="11"/>
      <c r="Q51" s="11" t="str">
        <f>ROUNDUP(A51/1,0)*1 &amp;" " &amp; VLOOKUP("Stk",Sprachindex!A:Z,Info!$O$6,FALSE)</f>
        <v>0 STK</v>
      </c>
    </row>
    <row r="52" spans="1:47" ht="32.1" customHeight="1" thickBot="1">
      <c r="A52" s="164"/>
      <c r="B52" s="137" t="str">
        <f>VLOOKUP("Stk",Sprachindex!A:Z,Info!$O$6,FALSE)</f>
        <v>STK</v>
      </c>
      <c r="C52" s="135"/>
      <c r="D52" s="142" t="s">
        <v>1567</v>
      </c>
      <c r="E52" s="264" t="str">
        <f>VLOOKUP("PREFA Einzelanschlagspunkt (EAP) nach EN 795, Klasse A (bis Bahnenbreite 650)",Sprachindex!A:Z,Info!$O$6,FALSE)</f>
        <v>PREFA Einzelanschlagspunkt (EAP) nach EN 795, Klasse A (bis Bahnenbreite 650)</v>
      </c>
      <c r="F52" s="265"/>
      <c r="G52" s="265"/>
      <c r="H52" s="265"/>
      <c r="I52" s="265"/>
      <c r="J52" s="265"/>
      <c r="K52" s="266"/>
      <c r="L52" s="137" t="str">
        <f t="shared" si="0"/>
        <v/>
      </c>
      <c r="M52" s="183"/>
      <c r="N52" s="123"/>
      <c r="O52" s="25"/>
      <c r="P52" s="11"/>
      <c r="Q52" s="11" t="str">
        <f>ROUNDUP(A52/1,0)*1 &amp;" " &amp; VLOOKUP("Stk",Sprachindex!A:Z,Info!$O$6,FALSE)</f>
        <v>0 STK</v>
      </c>
      <c r="T52" s="89" t="s">
        <v>3015</v>
      </c>
      <c r="U52" s="90" t="s">
        <v>702</v>
      </c>
      <c r="V52" s="90" t="s">
        <v>3021</v>
      </c>
      <c r="W52" s="90" t="s">
        <v>3022</v>
      </c>
      <c r="X52" s="90" t="s">
        <v>3023</v>
      </c>
      <c r="Y52" s="90" t="s">
        <v>3025</v>
      </c>
      <c r="Z52" s="90" t="s">
        <v>1564</v>
      </c>
      <c r="AA52" s="90" t="s">
        <v>3028</v>
      </c>
      <c r="AB52" s="90" t="s">
        <v>3024</v>
      </c>
      <c r="AC52" s="90" t="s">
        <v>3026</v>
      </c>
      <c r="AD52" s="90" t="s">
        <v>3027</v>
      </c>
      <c r="AE52" s="90" t="s">
        <v>1563</v>
      </c>
      <c r="AF52" s="90" t="s">
        <v>3010</v>
      </c>
      <c r="AG52" s="90" t="s">
        <v>3011</v>
      </c>
      <c r="AH52" s="90" t="s">
        <v>3012</v>
      </c>
      <c r="AI52" s="90" t="s">
        <v>3013</v>
      </c>
      <c r="AJ52" s="91" t="s">
        <v>3014</v>
      </c>
      <c r="AM52" s="75" t="s">
        <v>1555</v>
      </c>
      <c r="AN52" s="75" t="s">
        <v>1556</v>
      </c>
      <c r="AO52" s="75" t="s">
        <v>1557</v>
      </c>
      <c r="AP52" s="75" t="s">
        <v>1558</v>
      </c>
      <c r="AQ52" s="75" t="s">
        <v>1559</v>
      </c>
      <c r="AR52" s="75" t="s">
        <v>1560</v>
      </c>
      <c r="AS52" s="75" t="s">
        <v>1561</v>
      </c>
      <c r="AT52" s="75" t="s">
        <v>1562</v>
      </c>
      <c r="AU52" s="75" t="s">
        <v>1563</v>
      </c>
    </row>
    <row r="53" spans="1:47" ht="32.1" customHeight="1">
      <c r="A53" s="164"/>
      <c r="B53" s="137" t="str">
        <f>VLOOKUP("Stk",Sprachindex!A:Z,Info!$O$6,FALSE)</f>
        <v>STK</v>
      </c>
      <c r="C53" s="135"/>
      <c r="D53" s="136">
        <f t="shared" ref="D53:D60" si="3">IF($N$20=1,T53,IF($N$20=2,U53,IF($N$20=3,V53,IF($N$20=4,W53,IF($N$20=5,X53,IF($N$20=6,Y53,IF($N$20=7,Z53,IF($N$20=8,AA53,IF($N$20=9,AB53,IF($N$20=10,AC53,IF($N$20=11,AD53,IF($N$20=12,AE53,IF($N$20=13,AF53,IF($N$20=14,AG53,IF($N$20=15,AH53,IF($N$20=16,AI53,IF($N$20=17,AJ53,0)))))))))))))))))</f>
        <v>0</v>
      </c>
      <c r="E53" s="264" t="str">
        <f>VLOOKUP("PREFA Kaminhut 700 x 700 mm",Sprachindex!A:Z,Info!$O$6,FALSE)</f>
        <v>PREFA Kaminhut 700 x 700 mm</v>
      </c>
      <c r="F53" s="265"/>
      <c r="G53" s="265"/>
      <c r="H53" s="265"/>
      <c r="I53" s="265"/>
      <c r="J53" s="265"/>
      <c r="K53" s="266"/>
      <c r="L53" s="137" t="str">
        <f t="shared" si="0"/>
        <v/>
      </c>
      <c r="M53" s="183"/>
      <c r="N53" s="123"/>
      <c r="O53" s="25"/>
      <c r="P53" s="11"/>
      <c r="Q53" s="11" t="str">
        <f>ROUNDUP(A53/1,0)*1 &amp;" " &amp; VLOOKUP("Stk",Sprachindex!A:Z,Info!$O$6,FALSE)</f>
        <v>0 STK</v>
      </c>
      <c r="T53" s="95">
        <v>110423</v>
      </c>
      <c r="U53" s="95">
        <v>110420</v>
      </c>
      <c r="V53" s="95">
        <v>110428</v>
      </c>
      <c r="W53" s="95">
        <v>110425</v>
      </c>
      <c r="X53" s="95">
        <v>110421</v>
      </c>
      <c r="Y53" s="95">
        <v>110422</v>
      </c>
      <c r="Z53" s="95">
        <v>110424</v>
      </c>
      <c r="AA53" s="95">
        <v>110426</v>
      </c>
      <c r="AB53" s="95">
        <v>110427</v>
      </c>
      <c r="AC53" s="95"/>
      <c r="AD53" s="95"/>
      <c r="AE53" s="95">
        <v>545001</v>
      </c>
    </row>
    <row r="54" spans="1:47" ht="32.1" customHeight="1">
      <c r="A54" s="164"/>
      <c r="B54" s="137" t="str">
        <f>VLOOKUP("Stk",Sprachindex!A:Z,Info!$O$6,FALSE)</f>
        <v>STK</v>
      </c>
      <c r="C54" s="135"/>
      <c r="D54" s="136">
        <f t="shared" si="3"/>
        <v>0</v>
      </c>
      <c r="E54" s="264" t="str">
        <f>VLOOKUP("PREFA Kaminhut 800 x 800 mm",Sprachindex!A:Z,Info!$O$6,FALSE)</f>
        <v>PREFA Kaminhut 800 x 800 mm</v>
      </c>
      <c r="F54" s="265"/>
      <c r="G54" s="265"/>
      <c r="H54" s="265"/>
      <c r="I54" s="265"/>
      <c r="J54" s="265"/>
      <c r="K54" s="266"/>
      <c r="L54" s="137" t="str">
        <f t="shared" si="0"/>
        <v/>
      </c>
      <c r="M54" s="183"/>
      <c r="N54" s="123"/>
      <c r="O54" s="25"/>
      <c r="P54" s="11"/>
      <c r="Q54" s="11" t="str">
        <f>ROUNDUP(A54/1,0)*1 &amp;" " &amp; VLOOKUP("Stk",Sprachindex!A:Z,Info!$O$6,FALSE)</f>
        <v>0 STK</v>
      </c>
      <c r="T54" s="95">
        <v>110433</v>
      </c>
      <c r="U54" s="95">
        <v>110430</v>
      </c>
      <c r="V54" s="95">
        <v>110438</v>
      </c>
      <c r="W54" s="95">
        <v>110435</v>
      </c>
      <c r="X54" s="95">
        <v>110431</v>
      </c>
      <c r="Y54" s="95">
        <v>110432</v>
      </c>
      <c r="Z54" s="95">
        <v>110434</v>
      </c>
      <c r="AA54" s="95">
        <v>110436</v>
      </c>
      <c r="AB54" s="95">
        <v>110437</v>
      </c>
      <c r="AC54" s="95"/>
      <c r="AD54" s="95"/>
      <c r="AE54" s="95">
        <v>545012</v>
      </c>
    </row>
    <row r="55" spans="1:47" ht="32.1" customHeight="1">
      <c r="A55" s="164"/>
      <c r="B55" s="137" t="str">
        <f>VLOOKUP("Stk",Sprachindex!A:Z,Info!$O$6,FALSE)</f>
        <v>STK</v>
      </c>
      <c r="C55" s="135"/>
      <c r="D55" s="136">
        <f t="shared" si="3"/>
        <v>0</v>
      </c>
      <c r="E55" s="264" t="str">
        <f>VLOOKUP("PREFA Kaminhut 1.000 x 700 mm",Sprachindex!A:Z,Info!$O$6,FALSE)</f>
        <v>PREFA Kaminhut 1.000 x 700 mm</v>
      </c>
      <c r="F55" s="265"/>
      <c r="G55" s="265"/>
      <c r="H55" s="265"/>
      <c r="I55" s="265"/>
      <c r="J55" s="265"/>
      <c r="K55" s="266"/>
      <c r="L55" s="137" t="str">
        <f t="shared" si="0"/>
        <v/>
      </c>
      <c r="M55" s="183"/>
      <c r="N55" s="123"/>
      <c r="O55" s="25"/>
      <c r="P55" s="11"/>
      <c r="Q55" s="11" t="str">
        <f>ROUNDUP(A55/1,0)*1 &amp;" " &amp; VLOOKUP("Stk",Sprachindex!A:Z,Info!$O$6,FALSE)</f>
        <v>0 STK</v>
      </c>
      <c r="T55" s="95">
        <v>110443</v>
      </c>
      <c r="U55" s="95">
        <v>110440</v>
      </c>
      <c r="V55" s="95">
        <v>110448</v>
      </c>
      <c r="W55" s="95">
        <v>110445</v>
      </c>
      <c r="X55" s="95">
        <v>110441</v>
      </c>
      <c r="Y55" s="95">
        <v>110442</v>
      </c>
      <c r="Z55" s="95">
        <v>110444</v>
      </c>
      <c r="AA55" s="95">
        <v>110446</v>
      </c>
      <c r="AB55" s="95">
        <v>110447</v>
      </c>
      <c r="AC55" s="95"/>
      <c r="AD55" s="95"/>
      <c r="AE55" s="95">
        <v>545003</v>
      </c>
    </row>
    <row r="56" spans="1:47" ht="32.1" customHeight="1">
      <c r="A56" s="164"/>
      <c r="B56" s="137" t="str">
        <f>VLOOKUP("Stk",Sprachindex!A:Z,Info!$O$6,FALSE)</f>
        <v>STK</v>
      </c>
      <c r="C56" s="135"/>
      <c r="D56" s="136">
        <f t="shared" si="3"/>
        <v>0</v>
      </c>
      <c r="E56" s="264" t="str">
        <f>VLOOKUP("PREFA Kaminhut 1.100 x 800 mm",Sprachindex!A:Z,Info!$O$6,FALSE)</f>
        <v>PREFA Kaminhut 1.100 x 800 mm</v>
      </c>
      <c r="F56" s="265"/>
      <c r="G56" s="265"/>
      <c r="H56" s="265"/>
      <c r="I56" s="265"/>
      <c r="J56" s="265"/>
      <c r="K56" s="266"/>
      <c r="L56" s="137" t="str">
        <f t="shared" si="0"/>
        <v/>
      </c>
      <c r="M56" s="183"/>
      <c r="N56" s="123"/>
      <c r="O56" s="25"/>
      <c r="P56" s="11"/>
      <c r="Q56" s="11" t="str">
        <f>ROUNDUP(A56/1,0)*1 &amp;" " &amp; VLOOKUP("Stk",Sprachindex!A:Z,Info!$O$6,FALSE)</f>
        <v>0 STK</v>
      </c>
      <c r="T56" s="95">
        <v>110453</v>
      </c>
      <c r="U56" s="95">
        <v>110450</v>
      </c>
      <c r="V56" s="95">
        <v>110458</v>
      </c>
      <c r="W56" s="95">
        <v>110455</v>
      </c>
      <c r="X56" s="95">
        <v>110451</v>
      </c>
      <c r="Y56" s="95">
        <v>110452</v>
      </c>
      <c r="Z56" s="95">
        <v>110454</v>
      </c>
      <c r="AA56" s="95">
        <v>110456</v>
      </c>
      <c r="AB56" s="95">
        <v>110457</v>
      </c>
      <c r="AC56" s="95"/>
      <c r="AD56" s="95"/>
      <c r="AE56" s="95">
        <v>545016</v>
      </c>
    </row>
    <row r="57" spans="1:47" ht="32.1" customHeight="1">
      <c r="A57" s="164"/>
      <c r="B57" s="137" t="str">
        <f>VLOOKUP("Stk",Sprachindex!A:Z,Info!$O$6,FALSE)</f>
        <v>STK</v>
      </c>
      <c r="C57" s="135"/>
      <c r="D57" s="136">
        <f t="shared" si="3"/>
        <v>0</v>
      </c>
      <c r="E57" s="264" t="str">
        <f>VLOOKUP("PREFA Kaminhut 1.500 x 800 mm",Sprachindex!A:Z,Info!$O$6,FALSE)</f>
        <v>PREFA Kaminhut 1.500 x 800 mm</v>
      </c>
      <c r="F57" s="265"/>
      <c r="G57" s="265"/>
      <c r="H57" s="265"/>
      <c r="I57" s="265"/>
      <c r="J57" s="265"/>
      <c r="K57" s="266"/>
      <c r="L57" s="137" t="str">
        <f t="shared" si="0"/>
        <v/>
      </c>
      <c r="M57" s="183"/>
      <c r="N57" s="123"/>
      <c r="O57" s="25"/>
      <c r="P57" s="11"/>
      <c r="Q57" s="11" t="str">
        <f>ROUNDUP(A57/1,0)*1 &amp;" " &amp; VLOOKUP("Stk",Sprachindex!A:Z,Info!$O$6,FALSE)</f>
        <v>0 STK</v>
      </c>
      <c r="T57" s="95">
        <v>110463</v>
      </c>
      <c r="U57" s="95">
        <v>110460</v>
      </c>
      <c r="V57" s="95">
        <v>110468</v>
      </c>
      <c r="W57" s="95">
        <v>110465</v>
      </c>
      <c r="X57" s="95">
        <v>110461</v>
      </c>
      <c r="Y57" s="95">
        <v>110462</v>
      </c>
      <c r="Z57" s="95">
        <v>110464</v>
      </c>
      <c r="AA57" s="95">
        <v>110466</v>
      </c>
      <c r="AB57" s="95">
        <v>110467</v>
      </c>
      <c r="AC57" s="95"/>
      <c r="AD57" s="95"/>
      <c r="AE57" s="95">
        <v>545005</v>
      </c>
    </row>
    <row r="58" spans="1:47" ht="32.1" customHeight="1">
      <c r="A58" s="164"/>
      <c r="B58" s="137" t="str">
        <f>VLOOKUP("Stk",Sprachindex!A:Z,Info!$O$6,FALSE)</f>
        <v>STK</v>
      </c>
      <c r="C58" s="135"/>
      <c r="D58" s="136">
        <f t="shared" si="3"/>
        <v>0</v>
      </c>
      <c r="E58" s="264" t="str">
        <f>VLOOKUP("Kaminstrebe gebogen",Sprachindex!A:Z,Info!$O$6,FALSE)</f>
        <v>Kaminstrebe gebogen</v>
      </c>
      <c r="F58" s="265"/>
      <c r="G58" s="265"/>
      <c r="H58" s="265"/>
      <c r="I58" s="265"/>
      <c r="J58" s="265"/>
      <c r="K58" s="266"/>
      <c r="L58" s="137" t="str">
        <f t="shared" si="0"/>
        <v/>
      </c>
      <c r="M58" s="183"/>
      <c r="N58" s="123"/>
      <c r="O58" s="25"/>
      <c r="P58" s="11"/>
      <c r="Q58" s="11" t="str">
        <f>ROUNDUP(A58/1,0)*1 &amp;" " &amp; VLOOKUP("Stk",Sprachindex!A:Z,Info!$O$6,FALSE)</f>
        <v>0 STK</v>
      </c>
      <c r="T58" s="95">
        <v>110413</v>
      </c>
      <c r="U58" s="95">
        <v>110410</v>
      </c>
      <c r="V58" s="95">
        <v>110418</v>
      </c>
      <c r="W58" s="95">
        <v>110415</v>
      </c>
      <c r="X58" s="95">
        <v>110411</v>
      </c>
      <c r="Y58" s="95">
        <v>110412</v>
      </c>
      <c r="Z58" s="95">
        <v>110414</v>
      </c>
      <c r="AA58" s="95">
        <v>110416</v>
      </c>
      <c r="AB58" s="95">
        <v>110417</v>
      </c>
      <c r="AC58" s="95"/>
      <c r="AD58" s="95"/>
      <c r="AE58" s="95">
        <v>537029</v>
      </c>
    </row>
    <row r="59" spans="1:47" ht="32.1" customHeight="1">
      <c r="A59" s="164"/>
      <c r="B59" s="137" t="str">
        <f>VLOOKUP("Stk",Sprachindex!A:Z,Info!$O$6,FALSE)</f>
        <v>STK</v>
      </c>
      <c r="C59" s="135"/>
      <c r="D59" s="136">
        <f t="shared" si="3"/>
        <v>0</v>
      </c>
      <c r="E59" s="264" t="str">
        <f>VLOOKUP("PREFA Klebeeinfassung für Falzdächer ⌀ 50–65 mm",Sprachindex!A:Z,Info!$O$6,FALSE)</f>
        <v>PREFA Klebeeinfassung für Falzdächer ⌀ 50–65 mm</v>
      </c>
      <c r="F59" s="265"/>
      <c r="G59" s="265"/>
      <c r="H59" s="265"/>
      <c r="I59" s="265"/>
      <c r="J59" s="265"/>
      <c r="K59" s="266"/>
      <c r="L59" s="137" t="str">
        <f t="shared" si="0"/>
        <v/>
      </c>
      <c r="M59" s="183"/>
      <c r="N59" s="123"/>
      <c r="O59" s="25"/>
      <c r="P59" s="11"/>
      <c r="Q59" s="11" t="str">
        <f>ROUNDUP(A59/1,0)*1 &amp;" " &amp; VLOOKUP("Stk",Sprachindex!A:Z,Info!$O$6,FALSE)</f>
        <v>0 STK</v>
      </c>
      <c r="T59" s="95">
        <v>110273</v>
      </c>
      <c r="U59" s="95">
        <v>110270</v>
      </c>
      <c r="V59" s="95">
        <v>110278</v>
      </c>
      <c r="W59" s="95">
        <v>110275</v>
      </c>
      <c r="X59" s="95">
        <v>110271</v>
      </c>
      <c r="Y59" s="95">
        <v>110272</v>
      </c>
      <c r="Z59" s="95">
        <v>110274</v>
      </c>
      <c r="AA59" s="95">
        <v>110276</v>
      </c>
      <c r="AB59" s="95">
        <v>110277</v>
      </c>
      <c r="AC59" s="95">
        <v>121040</v>
      </c>
      <c r="AD59" s="95">
        <v>121041</v>
      </c>
      <c r="AE59" s="95">
        <v>513151</v>
      </c>
      <c r="AF59" s="95">
        <v>513188</v>
      </c>
    </row>
    <row r="60" spans="1:47" ht="32.1" customHeight="1">
      <c r="A60" s="164"/>
      <c r="B60" s="137" t="str">
        <f>VLOOKUP("Stk",Sprachindex!A:Z,Info!$O$6,FALSE)</f>
        <v>STK</v>
      </c>
      <c r="C60" s="135"/>
      <c r="D60" s="136">
        <f t="shared" si="3"/>
        <v>0</v>
      </c>
      <c r="E60" s="264" t="str">
        <f>VLOOKUP("PREFA Klebeeinfassung für Falzdächer ⌀ 80–125 mm",Sprachindex!A:Z,Info!$O$6,FALSE)</f>
        <v>PREFA Klebeeinfassung für Falzdächer ⌀ 80–125 mm</v>
      </c>
      <c r="F60" s="265"/>
      <c r="G60" s="265"/>
      <c r="H60" s="265"/>
      <c r="I60" s="265"/>
      <c r="J60" s="265"/>
      <c r="K60" s="266"/>
      <c r="L60" s="137" t="str">
        <f t="shared" si="0"/>
        <v/>
      </c>
      <c r="M60" s="183"/>
      <c r="N60" s="123"/>
      <c r="O60" s="25"/>
      <c r="P60" s="11"/>
      <c r="Q60" s="11" t="str">
        <f>ROUNDUP(A60/1,0)*1 &amp;" " &amp; VLOOKUP("Stk",Sprachindex!A:Z,Info!$O$6,FALSE)</f>
        <v>0 STK</v>
      </c>
      <c r="T60" s="95">
        <v>110263</v>
      </c>
      <c r="U60" s="95">
        <v>110260</v>
      </c>
      <c r="V60" s="95">
        <v>110268</v>
      </c>
      <c r="W60" s="95">
        <v>110265</v>
      </c>
      <c r="X60" s="95">
        <v>110261</v>
      </c>
      <c r="Y60" s="95">
        <v>110262</v>
      </c>
      <c r="Z60" s="95">
        <v>110264</v>
      </c>
      <c r="AA60" s="95">
        <v>110266</v>
      </c>
      <c r="AB60" s="95">
        <v>110267</v>
      </c>
      <c r="AC60" s="95">
        <v>121030</v>
      </c>
      <c r="AD60" s="95">
        <v>121031</v>
      </c>
      <c r="AE60" s="95">
        <v>513150</v>
      </c>
      <c r="AF60" s="95">
        <v>513168</v>
      </c>
    </row>
    <row r="61" spans="1:47" ht="32.1" customHeight="1">
      <c r="A61" s="164"/>
      <c r="B61" s="137" t="str">
        <f>VLOOKUP("Stk",Sprachindex!A:Z,Info!$O$6,FALSE)</f>
        <v>STK</v>
      </c>
      <c r="C61" s="135"/>
      <c r="D61" s="136" t="s">
        <v>1569</v>
      </c>
      <c r="E61" s="264" t="str">
        <f>VLOOKUP("PREFA Klebeeinfassung für Falzdächer ⌀ 120–170 mm",Sprachindex!A:Z,Info!$O$6,FALSE)</f>
        <v>PREFA Klebeeinfassung für Falzdächer ⌀ 120–170 mm</v>
      </c>
      <c r="F61" s="265"/>
      <c r="G61" s="265"/>
      <c r="H61" s="265"/>
      <c r="I61" s="265"/>
      <c r="J61" s="265"/>
      <c r="K61" s="266"/>
      <c r="L61" s="137" t="str">
        <f t="shared" si="0"/>
        <v/>
      </c>
      <c r="M61" s="183"/>
      <c r="N61" s="123"/>
      <c r="O61" s="25"/>
      <c r="P61" s="11"/>
      <c r="Q61" s="11" t="str">
        <f>ROUNDUP(A61/1,0)*1 &amp;" " &amp; VLOOKUP("Stk",Sprachindex!A:Z,Info!$O$6,FALSE)</f>
        <v>0 STK</v>
      </c>
      <c r="T61" s="1">
        <v>513206</v>
      </c>
      <c r="U61" s="1">
        <v>112500</v>
      </c>
      <c r="V61" s="1">
        <v>513206</v>
      </c>
      <c r="W61" s="1">
        <v>513206</v>
      </c>
      <c r="X61" s="1">
        <v>513206</v>
      </c>
      <c r="Y61" s="1">
        <v>112502</v>
      </c>
      <c r="Z61" s="1">
        <v>513206</v>
      </c>
      <c r="AA61" s="1">
        <v>513206</v>
      </c>
      <c r="AB61" s="1">
        <v>513206</v>
      </c>
      <c r="AC61" s="1">
        <v>513206</v>
      </c>
      <c r="AD61" s="1">
        <v>513206</v>
      </c>
      <c r="AE61" s="1">
        <v>513206</v>
      </c>
      <c r="AF61" s="1">
        <v>513206</v>
      </c>
      <c r="AG61" s="1">
        <v>513206</v>
      </c>
      <c r="AH61" s="1">
        <v>513206</v>
      </c>
      <c r="AI61" s="1">
        <v>513206</v>
      </c>
      <c r="AJ61" s="1">
        <v>513206</v>
      </c>
    </row>
    <row r="62" spans="1:47" ht="32.1" customHeight="1">
      <c r="A62" s="164"/>
      <c r="B62" s="137" t="str">
        <f>VLOOKUP("Stk",Sprachindex!A:Z,Info!$O$6,FALSE)</f>
        <v>STK</v>
      </c>
      <c r="C62" s="135"/>
      <c r="D62" s="136" t="s">
        <v>1568</v>
      </c>
      <c r="E62" s="264" t="str">
        <f>VLOOKUP("PREFA Klebeeinfassung für Falzdächer ⌀ 170–210 mm",Sprachindex!A:Z,Info!$O$6,FALSE)</f>
        <v>PREFA Klebeeinfassung für Falzdächer ⌀ 170–210 mm</v>
      </c>
      <c r="F62" s="265"/>
      <c r="G62" s="265"/>
      <c r="H62" s="265"/>
      <c r="I62" s="265"/>
      <c r="J62" s="265"/>
      <c r="K62" s="266"/>
      <c r="L62" s="137" t="str">
        <f t="shared" si="0"/>
        <v/>
      </c>
      <c r="M62" s="183"/>
      <c r="N62" s="123"/>
      <c r="O62" s="25"/>
      <c r="P62" s="11"/>
      <c r="Q62" s="11" t="str">
        <f>ROUNDUP(A62/1,0)*1 &amp;" " &amp; VLOOKUP("Stk",Sprachindex!A:Z,Info!$O$6,FALSE)</f>
        <v>0 STK</v>
      </c>
      <c r="T62" s="1">
        <v>513207</v>
      </c>
      <c r="U62" s="1">
        <v>112510</v>
      </c>
      <c r="V62" s="1">
        <v>513207</v>
      </c>
      <c r="W62" s="1">
        <v>513207</v>
      </c>
      <c r="X62" s="1">
        <v>513207</v>
      </c>
      <c r="Y62" s="1">
        <v>112512</v>
      </c>
      <c r="Z62" s="1">
        <v>513207</v>
      </c>
      <c r="AA62" s="1">
        <v>513207</v>
      </c>
      <c r="AB62" s="1">
        <v>513207</v>
      </c>
      <c r="AC62" s="1">
        <v>513207</v>
      </c>
      <c r="AD62" s="1">
        <v>513207</v>
      </c>
      <c r="AE62" s="1">
        <v>513207</v>
      </c>
      <c r="AF62" s="1">
        <v>513207</v>
      </c>
      <c r="AG62" s="1">
        <v>513207</v>
      </c>
      <c r="AH62" s="1">
        <v>513207</v>
      </c>
      <c r="AI62" s="1">
        <v>513207</v>
      </c>
      <c r="AJ62" s="1">
        <v>513207</v>
      </c>
    </row>
    <row r="63" spans="1:47" ht="32.1" customHeight="1">
      <c r="A63" s="164"/>
      <c r="B63" s="137" t="str">
        <f>VLOOKUP("Stk",Sprachindex!A:Z,Info!$O$6,FALSE)</f>
        <v>STK</v>
      </c>
      <c r="C63" s="135"/>
      <c r="D63" s="136">
        <v>420006</v>
      </c>
      <c r="E63" s="264" t="str">
        <f>VLOOKUP("PREFA Silikon Kartusche",Sprachindex!A:Z,Info!$O$6,FALSE)</f>
        <v>PREFA Silikon Kartusche</v>
      </c>
      <c r="F63" s="265"/>
      <c r="G63" s="265"/>
      <c r="H63" s="265"/>
      <c r="I63" s="265"/>
      <c r="J63" s="265"/>
      <c r="K63" s="266"/>
      <c r="L63" s="137" t="str">
        <f t="shared" si="0"/>
        <v/>
      </c>
      <c r="M63" s="183"/>
      <c r="N63" s="123"/>
      <c r="O63" s="25"/>
      <c r="P63" s="31"/>
      <c r="Q63" s="31" t="str">
        <f>A63 &amp; " " &amp; Formeln!A123 &amp; "                               (ca. " &amp;ROUNDUP(A63/1,0)*1*ROUNDUP(A63/25,0)*25 &amp; " lfm)"</f>
        <v xml:space="preserve"> STK                               (ca. 0 lfm)</v>
      </c>
      <c r="R63" s="6"/>
    </row>
    <row r="64" spans="1:47" ht="32.1" customHeight="1">
      <c r="A64" s="164"/>
      <c r="B64" s="137" t="str">
        <f>VLOOKUP("Stk",Sprachindex!A:Z,Info!$O$6,FALSE)</f>
        <v>STK</v>
      </c>
      <c r="C64" s="135"/>
      <c r="D64" s="136">
        <v>420500</v>
      </c>
      <c r="E64" s="264" t="str">
        <f>VLOOKUP("PREFA Spezialkleberset",Sprachindex!A:Z,Info!$O$6,FALSE)</f>
        <v>PREFA Spezialkleberset</v>
      </c>
      <c r="F64" s="265"/>
      <c r="G64" s="265"/>
      <c r="H64" s="265"/>
      <c r="I64" s="265"/>
      <c r="J64" s="265"/>
      <c r="K64" s="266"/>
      <c r="L64" s="137" t="str">
        <f t="shared" si="0"/>
        <v/>
      </c>
      <c r="M64" s="183"/>
      <c r="N64" s="123"/>
      <c r="O64" s="25"/>
      <c r="P64" s="31"/>
      <c r="Q64" s="31" t="str">
        <f>A64 &amp; " " &amp; Formeln!A123 &amp; "                               (ca. " &amp;ROUNDUP(A64/1,0)*1*ROUNDUP(A64/4,0)*4 &amp; VLOOKUP("lfm",Sprachindex!A:Z,Info!$O$6,FALSE)&amp;")"</f>
        <v xml:space="preserve"> STK                               (ca. 0lfm)</v>
      </c>
    </row>
    <row r="65" spans="1:24" ht="32.1" customHeight="1">
      <c r="A65" s="164"/>
      <c r="B65" s="137" t="str">
        <f>VLOOKUP("lfm",Sprachindex!A:Z,Info!$O$6,FALSE)</f>
        <v>lfm</v>
      </c>
      <c r="C65" s="135"/>
      <c r="D65" s="139">
        <f>IF(I65=Formeln!A116,X65,IF(I65=Formeln!A117,T65,IF(I65=Formeln!A118,U65,IF(I65=Formeln!A119,V65,IF(I65=Formeln!A120,W65,0)))))</f>
        <v>0</v>
      </c>
      <c r="E65" s="267" t="str">
        <f>VLOOKUP("PREFA Lochblech DM 5 mm
ca. 24kg/Rolle (0,7x1.000 mm)",Sprachindex!A:Z,Info!$O$6,FALSE)</f>
        <v>PREFA Lochblech DM 5 mm
ca. 24kg/Rolle (0,7x1.000 mm)</v>
      </c>
      <c r="F65" s="268"/>
      <c r="G65" s="268"/>
      <c r="H65" s="268"/>
      <c r="I65" s="269"/>
      <c r="J65" s="270"/>
      <c r="K65" s="270"/>
      <c r="L65" s="137" t="str">
        <f t="shared" si="0"/>
        <v/>
      </c>
      <c r="M65" s="183"/>
      <c r="N65" s="123"/>
      <c r="O65" s="25"/>
      <c r="P65" s="11"/>
      <c r="Q65" s="11" t="str">
        <f>ROUNDUP(A65/21.24,0)*21.24 &amp; " " &amp; R65 &amp; "                         (" &amp;ROUNDUP(A65/24,0)*24&amp;" " &amp; Formeln!A126 &amp; ")"</f>
        <v>0 lfm                         (0 kg)</v>
      </c>
      <c r="R65" s="11" t="str">
        <f>VLOOKUP("lfm",Sprachindex!A:Z,Info!$O$6,FALSE)</f>
        <v>lfm</v>
      </c>
      <c r="T65" s="72">
        <v>507202</v>
      </c>
      <c r="U65" s="72">
        <v>507203</v>
      </c>
      <c r="V65" s="72">
        <v>507204</v>
      </c>
      <c r="W65" s="72">
        <v>507205</v>
      </c>
      <c r="X65" s="72">
        <v>507206</v>
      </c>
    </row>
    <row r="66" spans="1:24" ht="32.1" customHeight="1">
      <c r="A66" s="164"/>
      <c r="B66" s="173"/>
      <c r="C66" s="173"/>
      <c r="D66" s="173"/>
      <c r="E66" s="298"/>
      <c r="F66" s="299"/>
      <c r="G66" s="299"/>
      <c r="H66" s="299"/>
      <c r="I66" s="299"/>
      <c r="J66" s="299"/>
      <c r="K66" s="300"/>
      <c r="L66" s="173"/>
      <c r="M66" s="174"/>
      <c r="N66" s="123"/>
      <c r="O66" s="25"/>
      <c r="P66" s="11"/>
      <c r="Q66" s="11" t="str">
        <f>ROUNDUP(A66/1,0)*1 &amp;" " &amp; VLOOKUP("Stk",Sprachindex!A:Z,Info!$O$6,FALSE)</f>
        <v>0 STK</v>
      </c>
    </row>
    <row r="67" spans="1:24" ht="32.1" customHeight="1">
      <c r="A67" s="164"/>
      <c r="B67" s="173"/>
      <c r="C67" s="173"/>
      <c r="D67" s="173"/>
      <c r="E67" s="298"/>
      <c r="F67" s="299"/>
      <c r="G67" s="299"/>
      <c r="H67" s="299"/>
      <c r="I67" s="299"/>
      <c r="J67" s="299"/>
      <c r="K67" s="300"/>
      <c r="L67" s="173"/>
      <c r="M67" s="174"/>
      <c r="N67" s="123"/>
      <c r="O67" s="25"/>
      <c r="P67" s="11"/>
      <c r="Q67" s="11" t="str">
        <f>ROUNDUP(A67/1,0)*1 &amp;" " &amp; VLOOKUP("Stk",Sprachindex!A:Z,Info!$O$6,FALSE)</f>
        <v>0 STK</v>
      </c>
    </row>
    <row r="68" spans="1:24" ht="32.1" customHeight="1" thickBot="1">
      <c r="A68" s="175"/>
      <c r="B68" s="176"/>
      <c r="C68" s="176"/>
      <c r="D68" s="176"/>
      <c r="E68" s="301"/>
      <c r="F68" s="302"/>
      <c r="G68" s="302"/>
      <c r="H68" s="302"/>
      <c r="I68" s="302"/>
      <c r="J68" s="302"/>
      <c r="K68" s="303"/>
      <c r="L68" s="176"/>
      <c r="M68" s="177"/>
      <c r="N68" s="123"/>
      <c r="O68" s="25"/>
      <c r="P68" s="11"/>
      <c r="Q68" s="11" t="str">
        <f>ROUNDUP(A68/1,0)*1 &amp;" " &amp; VLOOKUP("Stk",Sprachindex!A:Z,Info!$O$6,FALSE)</f>
        <v>0 STK</v>
      </c>
    </row>
    <row r="69" spans="1:24" ht="15" customHeight="1">
      <c r="A69" s="123"/>
      <c r="B69" s="123"/>
      <c r="C69" s="123"/>
      <c r="D69" s="280"/>
      <c r="E69" s="280"/>
      <c r="F69" s="280"/>
      <c r="G69" s="280"/>
      <c r="H69" s="280"/>
      <c r="I69" s="280"/>
      <c r="J69" s="280"/>
      <c r="K69" s="280"/>
      <c r="L69" s="280"/>
      <c r="M69" s="280"/>
      <c r="N69" s="123"/>
    </row>
    <row r="70" spans="1:24" ht="16.899999999999999">
      <c r="A70" s="123"/>
      <c r="B70" s="123"/>
      <c r="C70" s="153" t="str">
        <f>VLOOKUP("Zusatzvermerk:",Sprachindex!A:Z,Info!$O$6,FALSE)</f>
        <v>Zusatzvermerk:</v>
      </c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123"/>
    </row>
    <row r="71" spans="1:24" ht="16.899999999999999">
      <c r="A71" s="123"/>
      <c r="B71" s="123"/>
      <c r="C71" s="123"/>
      <c r="D71" s="278"/>
      <c r="E71" s="278"/>
      <c r="F71" s="278"/>
      <c r="G71" s="278"/>
      <c r="H71" s="278"/>
      <c r="I71" s="278"/>
      <c r="J71" s="278"/>
      <c r="K71" s="278"/>
      <c r="L71" s="278"/>
      <c r="M71" s="278"/>
      <c r="N71" s="123"/>
    </row>
    <row r="72" spans="1:24" ht="16.899999999999999">
      <c r="A72" s="123"/>
      <c r="B72" s="123"/>
      <c r="C72" s="123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123"/>
    </row>
    <row r="73" spans="1:24" ht="16.899999999999999">
      <c r="A73" s="123"/>
      <c r="B73" s="123"/>
      <c r="C73" s="123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123"/>
    </row>
    <row r="74" spans="1:24" ht="16.899999999999999">
      <c r="A74" s="123"/>
      <c r="B74" s="123"/>
      <c r="C74" s="123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123"/>
    </row>
    <row r="75" spans="1:24" ht="16.899999999999999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</row>
    <row r="76" spans="1:24" ht="16.899999999999999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</row>
    <row r="77" spans="1:24" ht="16.899999999999999">
      <c r="A77" s="154" t="str">
        <f>VLOOKUP("Anwendungstechnik",Sprachindex!A:Z,Info!$O$6,FALSE)</f>
        <v>Anwendungstechnik</v>
      </c>
      <c r="B77" s="155"/>
      <c r="C77" s="155"/>
      <c r="D77" s="263"/>
      <c r="E77" s="263"/>
      <c r="F77" s="263"/>
      <c r="G77" s="263"/>
      <c r="H77" s="263"/>
      <c r="I77" s="263"/>
      <c r="J77" s="263"/>
      <c r="K77" s="156" t="str">
        <f>VLOOKUP("Stand:",Sprachindex!A:Z,Info!$O$6,FALSE)</f>
        <v>Stand:</v>
      </c>
      <c r="L77" s="281">
        <v>43182</v>
      </c>
      <c r="M77" s="282"/>
      <c r="N77" s="123"/>
      <c r="O77" s="12" t="str">
        <f>VLOOKUP("Vielen Dank für Ihre Mengenermittlung",Sprachindex!A:Z,Info!$O$6,FALSE)</f>
        <v>Vielen Dank für Ihre Mengenermittlung</v>
      </c>
    </row>
    <row r="78" spans="1:24" ht="13.5"/>
    <row r="79" spans="1:24" ht="13.5" hidden="1"/>
    <row r="80" spans="1:24" ht="13.5" hidden="1"/>
    <row r="81" ht="13.5" hidden="1"/>
    <row r="82" ht="13.5" hidden="1"/>
    <row r="83" ht="13.5" hidden="1"/>
    <row r="84" ht="13.5" hidden="1"/>
    <row r="85" ht="13.5" hidden="1"/>
    <row r="86" ht="13.5" hidden="1"/>
    <row r="87" ht="13.5" hidden="1"/>
    <row r="88" ht="13.5" hidden="1"/>
    <row r="89" ht="13.5" hidden="1"/>
    <row r="90" ht="13.5" hidden="1"/>
    <row r="91" ht="13.5" hidden="1"/>
    <row r="92" ht="13.5" hidden="1"/>
    <row r="93" ht="13.5" hidden="1"/>
    <row r="94" ht="13.5" hidden="1"/>
    <row r="95" ht="13.5" hidden="1"/>
    <row r="96" ht="13.5" hidden="1"/>
    <row r="97" ht="13.5" hidden="1"/>
    <row r="98" ht="13.5" hidden="1"/>
    <row r="99" ht="13.5" hidden="1"/>
    <row r="100" ht="13.5" hidden="1"/>
    <row r="101" ht="13.5" hidden="1"/>
    <row r="102" ht="13.5" hidden="1"/>
    <row r="103" ht="13.5" hidden="1"/>
    <row r="104" ht="13.5" hidden="1"/>
    <row r="105" ht="13.5" hidden="1"/>
    <row r="106" ht="13.5" hidden="1"/>
    <row r="107" ht="13.5" hidden="1"/>
    <row r="108" ht="13.5" hidden="1"/>
    <row r="109" ht="13.5" hidden="1"/>
    <row r="110" ht="13.5" hidden="1"/>
    <row r="111" ht="13.5" hidden="1"/>
    <row r="112" ht="13.5" hidden="1"/>
    <row r="113" ht="14.25" hidden="1" customHeight="1"/>
    <row r="114" ht="14.25" hidden="1" customHeight="1"/>
  </sheetData>
  <sheetProtection algorithmName="SHA-512" hashValue="jGHWBGzEZkVCL8mt4KEBChaCR8v1GyBWyMAlT9FRT/tS8znNvqkyR5DqpYJNaa6ohtJUOXBqpccDea0IiCD53g==" saltValue="UsN6VVtU2v7RjbHTtiVYLA==" spinCount="100000" sheet="1" objects="1" scenarios="1" selectLockedCells="1" autoFilter="0"/>
  <protectedRanges>
    <protectedRange password="DEBF" sqref="P27:Q31 P33:Q33 P37:Q39 P41:Q43 Q45" name="darf vom Benutzer nicht verändert werden_1_2"/>
    <protectedRange password="DEBF" sqref="P32:Q32" name="darf vom Benutzer nicht verändert werden_1_5_2_5"/>
    <protectedRange password="DEBF" sqref="P34:Q36 P44:Q44 P45 P66:Q68 P46:Q62" name="darf vom Benutzer nicht verändert werden_1_5"/>
    <protectedRange password="DEBF" sqref="P65:Q65 P24:Q26" name="darf vom Benutzer nicht verändert werden_1_5_1"/>
    <protectedRange password="DEBF" sqref="R65 R24:R26" name="darf vom Benutzer nicht verändert werden_1_12"/>
    <protectedRange password="DEBF" sqref="P40:Q40 P63:Q64" name="darf vom Benutzer nicht verändert werden_1_5_2_6"/>
  </protectedRanges>
  <autoFilter ref="A22:A68"/>
  <mergeCells count="69">
    <mergeCell ref="E68:K68"/>
    <mergeCell ref="D77:J77"/>
    <mergeCell ref="D73:M74"/>
    <mergeCell ref="D71:M72"/>
    <mergeCell ref="D69:M70"/>
    <mergeCell ref="L77:M77"/>
    <mergeCell ref="E67:K67"/>
    <mergeCell ref="E57:K57"/>
    <mergeCell ref="E58:K58"/>
    <mergeCell ref="E59:K59"/>
    <mergeCell ref="E60:K60"/>
    <mergeCell ref="E61:K61"/>
    <mergeCell ref="E62:K62"/>
    <mergeCell ref="E63:K63"/>
    <mergeCell ref="E64:K64"/>
    <mergeCell ref="E65:H65"/>
    <mergeCell ref="I65:K65"/>
    <mergeCell ref="E66:K66"/>
    <mergeCell ref="E56:K56"/>
    <mergeCell ref="E46:K46"/>
    <mergeCell ref="E47:K47"/>
    <mergeCell ref="E48:K48"/>
    <mergeCell ref="E49:K49"/>
    <mergeCell ref="E50:K50"/>
    <mergeCell ref="E51:K51"/>
    <mergeCell ref="E52:K52"/>
    <mergeCell ref="E53:K53"/>
    <mergeCell ref="E54:K54"/>
    <mergeCell ref="E55:K55"/>
    <mergeCell ref="E45:K45"/>
    <mergeCell ref="E36:G36"/>
    <mergeCell ref="H36:K36"/>
    <mergeCell ref="E37:K37"/>
    <mergeCell ref="E38:K38"/>
    <mergeCell ref="E39:G39"/>
    <mergeCell ref="H39:K39"/>
    <mergeCell ref="E40:K40"/>
    <mergeCell ref="E41:K41"/>
    <mergeCell ref="E42:K42"/>
    <mergeCell ref="E43:K43"/>
    <mergeCell ref="E44:K44"/>
    <mergeCell ref="E35:K35"/>
    <mergeCell ref="E27:K27"/>
    <mergeCell ref="E28:K28"/>
    <mergeCell ref="E29:K29"/>
    <mergeCell ref="E30:K30"/>
    <mergeCell ref="E31:K31"/>
    <mergeCell ref="E32:G32"/>
    <mergeCell ref="H32:K32"/>
    <mergeCell ref="E33:K33"/>
    <mergeCell ref="E34:K34"/>
    <mergeCell ref="E26:K26"/>
    <mergeCell ref="C12:E12"/>
    <mergeCell ref="C13:E13"/>
    <mergeCell ref="C14:E14"/>
    <mergeCell ref="C17:E17"/>
    <mergeCell ref="C18:E18"/>
    <mergeCell ref="C19:E19"/>
    <mergeCell ref="C20:E20"/>
    <mergeCell ref="B22:E22"/>
    <mergeCell ref="E23:K23"/>
    <mergeCell ref="E24:K24"/>
    <mergeCell ref="E25:K25"/>
    <mergeCell ref="K4:M4"/>
    <mergeCell ref="K5:M5"/>
    <mergeCell ref="K6:M6"/>
    <mergeCell ref="C10:E10"/>
    <mergeCell ref="C8:E8"/>
    <mergeCell ref="C9:E9"/>
  </mergeCells>
  <conditionalFormatting sqref="K20">
    <cfRule type="expression" dxfId="315" priority="177">
      <formula>$N$20=18</formula>
    </cfRule>
  </conditionalFormatting>
  <conditionalFormatting sqref="C8:E8">
    <cfRule type="cellIs" dxfId="314" priority="171" operator="equal">
      <formula>""</formula>
    </cfRule>
  </conditionalFormatting>
  <conditionalFormatting sqref="C9:E9">
    <cfRule type="cellIs" dxfId="313" priority="170" operator="equal">
      <formula>""</formula>
    </cfRule>
  </conditionalFormatting>
  <conditionalFormatting sqref="C10:E10">
    <cfRule type="cellIs" dxfId="312" priority="169" operator="equal">
      <formula>""</formula>
    </cfRule>
  </conditionalFormatting>
  <conditionalFormatting sqref="C12:E12">
    <cfRule type="cellIs" dxfId="311" priority="168" operator="equal">
      <formula>""</formula>
    </cfRule>
  </conditionalFormatting>
  <conditionalFormatting sqref="C13:E13">
    <cfRule type="cellIs" dxfId="310" priority="167" operator="equal">
      <formula>""</formula>
    </cfRule>
  </conditionalFormatting>
  <conditionalFormatting sqref="C14:E14">
    <cfRule type="cellIs" dxfId="309" priority="166" operator="equal">
      <formula>""</formula>
    </cfRule>
  </conditionalFormatting>
  <conditionalFormatting sqref="C17:E17">
    <cfRule type="cellIs" dxfId="308" priority="165" operator="equal">
      <formula>""</formula>
    </cfRule>
  </conditionalFormatting>
  <conditionalFormatting sqref="C18:E18">
    <cfRule type="cellIs" dxfId="307" priority="164" operator="equal">
      <formula>""</formula>
    </cfRule>
  </conditionalFormatting>
  <conditionalFormatting sqref="C19:E19">
    <cfRule type="cellIs" dxfId="306" priority="163" operator="equal">
      <formula>""</formula>
    </cfRule>
  </conditionalFormatting>
  <conditionalFormatting sqref="C20:E20">
    <cfRule type="cellIs" dxfId="305" priority="162" operator="equal">
      <formula>""</formula>
    </cfRule>
  </conditionalFormatting>
  <conditionalFormatting sqref="K6">
    <cfRule type="cellIs" dxfId="304" priority="161" operator="equal">
      <formula>""</formula>
    </cfRule>
  </conditionalFormatting>
  <conditionalFormatting sqref="K5">
    <cfRule type="cellIs" dxfId="303" priority="160" operator="equal">
      <formula>""</formula>
    </cfRule>
  </conditionalFormatting>
  <conditionalFormatting sqref="K4">
    <cfRule type="cellIs" dxfId="302" priority="159" operator="equal">
      <formula>""</formula>
    </cfRule>
  </conditionalFormatting>
  <conditionalFormatting sqref="A24">
    <cfRule type="cellIs" dxfId="301" priority="158" operator="equal">
      <formula>""</formula>
    </cfRule>
  </conditionalFormatting>
  <conditionalFormatting sqref="A25">
    <cfRule type="cellIs" dxfId="300" priority="157" operator="equal">
      <formula>""</formula>
    </cfRule>
  </conditionalFormatting>
  <conditionalFormatting sqref="A26">
    <cfRule type="cellIs" dxfId="299" priority="156" operator="equal">
      <formula>""</formula>
    </cfRule>
  </conditionalFormatting>
  <conditionalFormatting sqref="A27">
    <cfRule type="cellIs" dxfId="298" priority="154" operator="equal">
      <formula>""</formula>
    </cfRule>
  </conditionalFormatting>
  <conditionalFormatting sqref="A28">
    <cfRule type="cellIs" dxfId="297" priority="153" operator="equal">
      <formula>""</formula>
    </cfRule>
  </conditionalFormatting>
  <conditionalFormatting sqref="A29">
    <cfRule type="cellIs" dxfId="296" priority="152" operator="equal">
      <formula>""</formula>
    </cfRule>
  </conditionalFormatting>
  <conditionalFormatting sqref="A30">
    <cfRule type="cellIs" dxfId="295" priority="151" operator="equal">
      <formula>""</formula>
    </cfRule>
  </conditionalFormatting>
  <conditionalFormatting sqref="A31">
    <cfRule type="cellIs" dxfId="294" priority="150" operator="equal">
      <formula>""</formula>
    </cfRule>
  </conditionalFormatting>
  <conditionalFormatting sqref="A32">
    <cfRule type="cellIs" dxfId="293" priority="149" operator="equal">
      <formula>""</formula>
    </cfRule>
  </conditionalFormatting>
  <conditionalFormatting sqref="A33">
    <cfRule type="cellIs" dxfId="292" priority="148" operator="equal">
      <formula>""</formula>
    </cfRule>
  </conditionalFormatting>
  <conditionalFormatting sqref="A34">
    <cfRule type="cellIs" dxfId="291" priority="147" operator="equal">
      <formula>""</formula>
    </cfRule>
  </conditionalFormatting>
  <conditionalFormatting sqref="A35">
    <cfRule type="cellIs" dxfId="290" priority="146" operator="equal">
      <formula>""</formula>
    </cfRule>
  </conditionalFormatting>
  <conditionalFormatting sqref="A36">
    <cfRule type="cellIs" dxfId="289" priority="145" operator="equal">
      <formula>""</formula>
    </cfRule>
  </conditionalFormatting>
  <conditionalFormatting sqref="A37">
    <cfRule type="cellIs" dxfId="288" priority="144" operator="equal">
      <formula>""</formula>
    </cfRule>
  </conditionalFormatting>
  <conditionalFormatting sqref="A38">
    <cfRule type="cellIs" dxfId="287" priority="143" operator="equal">
      <formula>""</formula>
    </cfRule>
  </conditionalFormatting>
  <conditionalFormatting sqref="A39">
    <cfRule type="cellIs" dxfId="286" priority="142" operator="equal">
      <formula>""</formula>
    </cfRule>
  </conditionalFormatting>
  <conditionalFormatting sqref="A40">
    <cfRule type="cellIs" dxfId="285" priority="141" operator="equal">
      <formula>""</formula>
    </cfRule>
  </conditionalFormatting>
  <conditionalFormatting sqref="A41">
    <cfRule type="cellIs" dxfId="284" priority="140" operator="equal">
      <formula>""</formula>
    </cfRule>
  </conditionalFormatting>
  <conditionalFormatting sqref="A42">
    <cfRule type="cellIs" dxfId="283" priority="139" operator="equal">
      <formula>""</formula>
    </cfRule>
  </conditionalFormatting>
  <conditionalFormatting sqref="A43">
    <cfRule type="cellIs" dxfId="282" priority="138" operator="equal">
      <formula>""</formula>
    </cfRule>
  </conditionalFormatting>
  <conditionalFormatting sqref="A44">
    <cfRule type="cellIs" dxfId="281" priority="137" operator="equal">
      <formula>""</formula>
    </cfRule>
  </conditionalFormatting>
  <conditionalFormatting sqref="A45">
    <cfRule type="cellIs" dxfId="280" priority="136" operator="equal">
      <formula>""</formula>
    </cfRule>
  </conditionalFormatting>
  <conditionalFormatting sqref="A46">
    <cfRule type="cellIs" dxfId="279" priority="135" operator="equal">
      <formula>""</formula>
    </cfRule>
  </conditionalFormatting>
  <conditionalFormatting sqref="A47">
    <cfRule type="cellIs" dxfId="278" priority="134" operator="equal">
      <formula>""</formula>
    </cfRule>
  </conditionalFormatting>
  <conditionalFormatting sqref="A48">
    <cfRule type="cellIs" dxfId="277" priority="133" operator="equal">
      <formula>""</formula>
    </cfRule>
  </conditionalFormatting>
  <conditionalFormatting sqref="A49">
    <cfRule type="cellIs" dxfId="276" priority="132" operator="equal">
      <formula>""</formula>
    </cfRule>
  </conditionalFormatting>
  <conditionalFormatting sqref="A50">
    <cfRule type="cellIs" dxfId="275" priority="131" operator="equal">
      <formula>""</formula>
    </cfRule>
  </conditionalFormatting>
  <conditionalFormatting sqref="A51">
    <cfRule type="cellIs" dxfId="274" priority="129" operator="equal">
      <formula>""</formula>
    </cfRule>
  </conditionalFormatting>
  <conditionalFormatting sqref="A52">
    <cfRule type="cellIs" dxfId="273" priority="128" operator="equal">
      <formula>""</formula>
    </cfRule>
  </conditionalFormatting>
  <conditionalFormatting sqref="A53">
    <cfRule type="cellIs" dxfId="272" priority="127" operator="equal">
      <formula>""</formula>
    </cfRule>
  </conditionalFormatting>
  <conditionalFormatting sqref="A55">
    <cfRule type="cellIs" dxfId="271" priority="126" operator="equal">
      <formula>""</formula>
    </cfRule>
  </conditionalFormatting>
  <conditionalFormatting sqref="A54">
    <cfRule type="cellIs" dxfId="270" priority="125" operator="equal">
      <formula>""</formula>
    </cfRule>
  </conditionalFormatting>
  <conditionalFormatting sqref="A56">
    <cfRule type="cellIs" dxfId="269" priority="124" operator="equal">
      <formula>""</formula>
    </cfRule>
  </conditionalFormatting>
  <conditionalFormatting sqref="A57">
    <cfRule type="cellIs" dxfId="268" priority="123" operator="equal">
      <formula>""</formula>
    </cfRule>
  </conditionalFormatting>
  <conditionalFormatting sqref="A58">
    <cfRule type="cellIs" dxfId="267" priority="122" operator="equal">
      <formula>""</formula>
    </cfRule>
  </conditionalFormatting>
  <conditionalFormatting sqref="A59">
    <cfRule type="cellIs" dxfId="266" priority="121" operator="equal">
      <formula>""</formula>
    </cfRule>
  </conditionalFormatting>
  <conditionalFormatting sqref="A60">
    <cfRule type="cellIs" dxfId="265" priority="120" operator="equal">
      <formula>""</formula>
    </cfRule>
  </conditionalFormatting>
  <conditionalFormatting sqref="A61">
    <cfRule type="cellIs" dxfId="264" priority="119" operator="equal">
      <formula>""</formula>
    </cfRule>
  </conditionalFormatting>
  <conditionalFormatting sqref="A62">
    <cfRule type="cellIs" dxfId="263" priority="118" operator="equal">
      <formula>""</formula>
    </cfRule>
  </conditionalFormatting>
  <conditionalFormatting sqref="A63">
    <cfRule type="cellIs" dxfId="262" priority="117" operator="equal">
      <formula>""</formula>
    </cfRule>
  </conditionalFormatting>
  <conditionalFormatting sqref="A64">
    <cfRule type="cellIs" dxfId="261" priority="116" operator="equal">
      <formula>""</formula>
    </cfRule>
  </conditionalFormatting>
  <conditionalFormatting sqref="A65">
    <cfRule type="cellIs" dxfId="260" priority="115" operator="equal">
      <formula>""</formula>
    </cfRule>
  </conditionalFormatting>
  <conditionalFormatting sqref="A66">
    <cfRule type="cellIs" dxfId="259" priority="112" operator="equal">
      <formula>""</formula>
    </cfRule>
  </conditionalFormatting>
  <conditionalFormatting sqref="A67">
    <cfRule type="cellIs" dxfId="258" priority="111" operator="equal">
      <formula>""</formula>
    </cfRule>
  </conditionalFormatting>
  <conditionalFormatting sqref="A68">
    <cfRule type="cellIs" dxfId="257" priority="110" operator="equal">
      <formula>""</formula>
    </cfRule>
  </conditionalFormatting>
  <conditionalFormatting sqref="B67">
    <cfRule type="cellIs" dxfId="256" priority="109" operator="equal">
      <formula>""</formula>
    </cfRule>
  </conditionalFormatting>
  <conditionalFormatting sqref="B66">
    <cfRule type="cellIs" dxfId="255" priority="108" operator="equal">
      <formula>""</formula>
    </cfRule>
  </conditionalFormatting>
  <conditionalFormatting sqref="B68">
    <cfRule type="cellIs" dxfId="254" priority="107" operator="equal">
      <formula>""</formula>
    </cfRule>
  </conditionalFormatting>
  <conditionalFormatting sqref="C68">
    <cfRule type="cellIs" dxfId="253" priority="106" operator="equal">
      <formula>""</formula>
    </cfRule>
  </conditionalFormatting>
  <conditionalFormatting sqref="C67">
    <cfRule type="cellIs" dxfId="252" priority="105" operator="equal">
      <formula>""</formula>
    </cfRule>
  </conditionalFormatting>
  <conditionalFormatting sqref="C66">
    <cfRule type="cellIs" dxfId="251" priority="104" operator="equal">
      <formula>""</formula>
    </cfRule>
  </conditionalFormatting>
  <conditionalFormatting sqref="E66">
    <cfRule type="cellIs" dxfId="250" priority="103" operator="equal">
      <formula>""</formula>
    </cfRule>
  </conditionalFormatting>
  <conditionalFormatting sqref="E67">
    <cfRule type="cellIs" dxfId="249" priority="102" operator="equal">
      <formula>""</formula>
    </cfRule>
  </conditionalFormatting>
  <conditionalFormatting sqref="E68">
    <cfRule type="cellIs" dxfId="248" priority="101" operator="equal">
      <formula>""</formula>
    </cfRule>
  </conditionalFormatting>
  <conditionalFormatting sqref="L68">
    <cfRule type="cellIs" dxfId="247" priority="100" operator="equal">
      <formula>""</formula>
    </cfRule>
  </conditionalFormatting>
  <conditionalFormatting sqref="L67">
    <cfRule type="cellIs" dxfId="246" priority="99" operator="equal">
      <formula>""</formula>
    </cfRule>
  </conditionalFormatting>
  <conditionalFormatting sqref="L66">
    <cfRule type="cellIs" dxfId="245" priority="98" operator="equal">
      <formula>""</formula>
    </cfRule>
  </conditionalFormatting>
  <conditionalFormatting sqref="M66">
    <cfRule type="cellIs" dxfId="244" priority="97" operator="equal">
      <formula>""</formula>
    </cfRule>
  </conditionalFormatting>
  <conditionalFormatting sqref="M67">
    <cfRule type="cellIs" dxfId="243" priority="96" operator="equal">
      <formula>""</formula>
    </cfRule>
  </conditionalFormatting>
  <conditionalFormatting sqref="M68">
    <cfRule type="cellIs" dxfId="242" priority="95" operator="equal">
      <formula>""</formula>
    </cfRule>
  </conditionalFormatting>
  <conditionalFormatting sqref="D68">
    <cfRule type="cellIs" dxfId="241" priority="80" operator="equal">
      <formula>""</formula>
    </cfRule>
  </conditionalFormatting>
  <conditionalFormatting sqref="D67">
    <cfRule type="cellIs" dxfId="240" priority="79" operator="equal">
      <formula>""</formula>
    </cfRule>
  </conditionalFormatting>
  <conditionalFormatting sqref="D66">
    <cfRule type="cellIs" dxfId="239" priority="78" operator="equal">
      <formula>""</formula>
    </cfRule>
  </conditionalFormatting>
  <conditionalFormatting sqref="K19">
    <cfRule type="expression" dxfId="238" priority="77">
      <formula>$N$20=18</formula>
    </cfRule>
  </conditionalFormatting>
  <conditionalFormatting sqref="D51">
    <cfRule type="duplicateValues" dxfId="237" priority="56"/>
  </conditionalFormatting>
  <conditionalFormatting sqref="D52">
    <cfRule type="duplicateValues" dxfId="236" priority="55"/>
  </conditionalFormatting>
  <conditionalFormatting sqref="AC38">
    <cfRule type="duplicateValues" dxfId="235" priority="21"/>
  </conditionalFormatting>
  <conditionalFormatting sqref="T33">
    <cfRule type="duplicateValues" dxfId="234" priority="34"/>
  </conditionalFormatting>
  <conditionalFormatting sqref="U33">
    <cfRule type="duplicateValues" dxfId="233" priority="33"/>
  </conditionalFormatting>
  <conditionalFormatting sqref="V33">
    <cfRule type="duplicateValues" dxfId="232" priority="32"/>
  </conditionalFormatting>
  <conditionalFormatting sqref="W33">
    <cfRule type="duplicateValues" dxfId="231" priority="31"/>
  </conditionalFormatting>
  <conditionalFormatting sqref="X33">
    <cfRule type="duplicateValues" dxfId="230" priority="30"/>
  </conditionalFormatting>
  <conditionalFormatting sqref="Y33">
    <cfRule type="duplicateValues" dxfId="229" priority="29"/>
  </conditionalFormatting>
  <conditionalFormatting sqref="Z33">
    <cfRule type="duplicateValues" dxfId="228" priority="28"/>
  </conditionalFormatting>
  <conditionalFormatting sqref="AA33">
    <cfRule type="duplicateValues" dxfId="227" priority="27"/>
  </conditionalFormatting>
  <conditionalFormatting sqref="AB33">
    <cfRule type="duplicateValues" dxfId="226" priority="26"/>
  </conditionalFormatting>
  <conditionalFormatting sqref="AC33">
    <cfRule type="duplicateValues" dxfId="225" priority="25"/>
  </conditionalFormatting>
  <conditionalFormatting sqref="T37 V37:AB37">
    <cfRule type="duplicateValues" dxfId="224" priority="24"/>
  </conditionalFormatting>
  <conditionalFormatting sqref="AC37">
    <cfRule type="duplicateValues" dxfId="223" priority="23"/>
  </conditionalFormatting>
  <conditionalFormatting sqref="T38:AB38">
    <cfRule type="duplicateValues" dxfId="222" priority="22"/>
  </conditionalFormatting>
  <conditionalFormatting sqref="T48:AC48">
    <cfRule type="duplicateValues" dxfId="221" priority="19"/>
  </conditionalFormatting>
  <conditionalFormatting sqref="T49:AB49">
    <cfRule type="duplicateValues" dxfId="220" priority="18"/>
  </conditionalFormatting>
  <conditionalFormatting sqref="AC49">
    <cfRule type="duplicateValues" dxfId="219" priority="17"/>
  </conditionalFormatting>
  <conditionalFormatting sqref="T50:AB50">
    <cfRule type="duplicateValues" dxfId="218" priority="16"/>
  </conditionalFormatting>
  <conditionalFormatting sqref="AC50">
    <cfRule type="duplicateValues" dxfId="217" priority="15"/>
  </conditionalFormatting>
  <conditionalFormatting sqref="T53:AE60">
    <cfRule type="duplicateValues" dxfId="216" priority="12"/>
  </conditionalFormatting>
  <conditionalFormatting sqref="T65:X65">
    <cfRule type="duplicateValues" dxfId="215" priority="5"/>
  </conditionalFormatting>
  <conditionalFormatting sqref="I12">
    <cfRule type="expression" dxfId="214" priority="1">
      <formula>$N$12=2</formula>
    </cfRule>
    <cfRule type="expression" dxfId="213" priority="4">
      <formula>$N$12=1</formula>
    </cfRule>
  </conditionalFormatting>
  <conditionalFormatting sqref="L12">
    <cfRule type="expression" dxfId="212" priority="2">
      <formula>$N$12=1</formula>
    </cfRule>
    <cfRule type="expression" dxfId="211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361950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5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361950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6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361950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7" name="Option Button 14">
              <controlPr defaultSize="0" autoFill="0" autoLine="0" autoPict="0">
                <anchor moveWithCells="1">
                  <from>
                    <xdr:col>7</xdr:col>
                    <xdr:colOff>676275</xdr:colOff>
                    <xdr:row>7</xdr:row>
                    <xdr:rowOff>9525</xdr:rowOff>
                  </from>
                  <to>
                    <xdr:col>8</xdr:col>
                    <xdr:colOff>457200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8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9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171450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10" name="Option Button 1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171450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11" name="Option Button 1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171450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12" name="Option Button 2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171450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13" name="Option Button 2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171450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14" name="Option Button 2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171450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15" name="Option Button 23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20</xdr:row>
                    <xdr:rowOff>19050</xdr:rowOff>
                  </from>
                  <to>
                    <xdr:col>7</xdr:col>
                    <xdr:colOff>171450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16" name="Option Button 24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14</xdr:row>
                    <xdr:rowOff>19050</xdr:rowOff>
                  </from>
                  <to>
                    <xdr:col>8</xdr:col>
                    <xdr:colOff>809625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17" name="Option Button 25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15</xdr:row>
                    <xdr:rowOff>19050</xdr:rowOff>
                  </from>
                  <to>
                    <xdr:col>8</xdr:col>
                    <xdr:colOff>809625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18" name="Option Button 26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16</xdr:row>
                    <xdr:rowOff>19050</xdr:rowOff>
                  </from>
                  <to>
                    <xdr:col>8</xdr:col>
                    <xdr:colOff>809625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19" name="Option Button 27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17</xdr:row>
                    <xdr:rowOff>19050</xdr:rowOff>
                  </from>
                  <to>
                    <xdr:col>8</xdr:col>
                    <xdr:colOff>809625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20" name="Option Button 28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18</xdr:row>
                    <xdr:rowOff>19050</xdr:rowOff>
                  </from>
                  <to>
                    <xdr:col>8</xdr:col>
                    <xdr:colOff>809625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3" r:id="rId21" name="Option Button 29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19</xdr:row>
                    <xdr:rowOff>19050</xdr:rowOff>
                  </from>
                  <to>
                    <xdr:col>8</xdr:col>
                    <xdr:colOff>809625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4" r:id="rId22" name="Option Button 30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20</xdr:row>
                    <xdr:rowOff>19050</xdr:rowOff>
                  </from>
                  <to>
                    <xdr:col>8</xdr:col>
                    <xdr:colOff>809625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5" r:id="rId23" name="Option Button 31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14</xdr:row>
                    <xdr:rowOff>28575</xdr:rowOff>
                  </from>
                  <to>
                    <xdr:col>11</xdr:col>
                    <xdr:colOff>104775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6" r:id="rId24" name="Option Button 32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15</xdr:row>
                    <xdr:rowOff>9525</xdr:rowOff>
                  </from>
                  <to>
                    <xdr:col>11</xdr:col>
                    <xdr:colOff>104775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8" r:id="rId25" name="Option Button 34">
              <controlPr defaultSize="0" autoFill="0" autoLine="0" autoPict="0" altText="">
                <anchor moveWithCells="1">
                  <from>
                    <xdr:col>9</xdr:col>
                    <xdr:colOff>495300</xdr:colOff>
                    <xdr:row>16</xdr:row>
                    <xdr:rowOff>9525</xdr:rowOff>
                  </from>
                  <to>
                    <xdr:col>11</xdr:col>
                    <xdr:colOff>104775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9" r:id="rId26" name="Option Button 35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0" r:id="rId27" name="Option Button 36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4" id="{B875836C-4FDA-4F79-A0B3-490C8568A1A9}">
            <xm:f>$H$32=Formeln!$A$1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H32:K32</xm:sqref>
        </x14:conditionalFormatting>
        <x14:conditionalFormatting xmlns:xm="http://schemas.microsoft.com/office/excel/2006/main">
          <x14:cfRule type="expression" priority="83" id="{A45D577D-F668-40A4-816D-3CFEF19521A0}">
            <xm:f>$H$36=Formeln!$A$1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H36:K36</xm:sqref>
        </x14:conditionalFormatting>
        <x14:conditionalFormatting xmlns:xm="http://schemas.microsoft.com/office/excel/2006/main">
          <x14:cfRule type="expression" priority="82" id="{9E57E7C5-6783-456D-BCBC-02A55B225BB0}">
            <xm:f>$H$39=Formeln!$A$1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H39:K39</xm:sqref>
        </x14:conditionalFormatting>
        <x14:conditionalFormatting xmlns:xm="http://schemas.microsoft.com/office/excel/2006/main">
          <x14:cfRule type="expression" priority="81" id="{1D24F517-1CAA-470F-B20E-AE59B59C8DA8}">
            <xm:f>$I$65=Formeln!$A$1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I65:K65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Formeln!$A$115:$A$120</xm:f>
          </x14:formula1>
          <xm:sqref>I65:K65</xm:sqref>
        </x14:dataValidation>
        <x14:dataValidation type="list" allowBlank="1" showInputMessage="1" showErrorMessage="1">
          <x14:formula1>
            <xm:f>Formeln!$A$143:$A$146</xm:f>
          </x14:formula1>
          <xm:sqref>H39:K39</xm:sqref>
        </x14:dataValidation>
        <x14:dataValidation type="list" allowBlank="1" showInputMessage="1" showErrorMessage="1">
          <x14:formula1>
            <xm:f>Formeln!$A$9:$A$11</xm:f>
          </x14:formula1>
          <xm:sqref>H36:K36</xm:sqref>
        </x14:dataValidation>
        <x14:dataValidation type="list" allowBlank="1" showInputMessage="1" showErrorMessage="1">
          <x14:formula1>
            <xm:f>Formeln!$A$1:$A$3</xm:f>
          </x14:formula1>
          <xm:sqref>H32:K32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2">
    <pageSetUpPr fitToPage="1"/>
  </sheetPr>
  <dimension ref="A1:AS114"/>
  <sheetViews>
    <sheetView showGridLines="0" showZeros="0" zoomScaleNormal="100" workbookViewId="0">
      <selection activeCell="C8" sqref="C8:E8"/>
    </sheetView>
  </sheetViews>
  <sheetFormatPr baseColWidth="10" defaultColWidth="0" defaultRowHeight="14.25" customHeight="1" zeroHeight="1"/>
  <cols>
    <col min="1" max="2" width="9.73046875" style="1" customWidth="1"/>
    <col min="3" max="3" width="11.73046875" style="1" customWidth="1"/>
    <col min="4" max="4" width="10.73046875" style="1" customWidth="1"/>
    <col min="5" max="5" width="13.73046875" style="1" customWidth="1"/>
    <col min="6" max="6" width="10.73046875" style="1" customWidth="1"/>
    <col min="7" max="7" width="9.73046875" style="1" customWidth="1"/>
    <col min="8" max="8" width="12.3984375" style="1" customWidth="1"/>
    <col min="9" max="9" width="13.73046875" style="1" customWidth="1"/>
    <col min="10" max="10" width="9.73046875" style="1" customWidth="1"/>
    <col min="11" max="11" width="10.73046875" style="1" customWidth="1"/>
    <col min="12" max="12" width="13.73046875" style="1" customWidth="1"/>
    <col min="13" max="13" width="9.73046875" style="1" customWidth="1"/>
    <col min="14" max="14" width="2.73046875" style="1" customWidth="1"/>
    <col min="15" max="16" width="15.73046875" style="12" hidden="1" customWidth="1"/>
    <col min="17" max="16384" width="8.73046875" style="1" hidden="1"/>
  </cols>
  <sheetData>
    <row r="1" spans="1:17" ht="27.75">
      <c r="M1" s="2" t="str">
        <f>VLOOKUP("PREFA DACHRINNENSYSTEME",Sprachindex!A:Z,Info!$O$6,FALSE)</f>
        <v>PREFA DACHRINNENSYSTEME</v>
      </c>
    </row>
    <row r="2" spans="1:17" ht="27.75">
      <c r="D2" s="23"/>
      <c r="M2" s="2" t="str">
        <f>VLOOKUP("QUADRATROHR",Sprachindex!A:Z,Info!$O$6,FALSE)</f>
        <v>QUADRATROHR</v>
      </c>
    </row>
    <row r="3" spans="1:17" ht="15" customHeight="1"/>
    <row r="4" spans="1:17" ht="17.25" customHeight="1">
      <c r="A4" s="123"/>
      <c r="B4" s="123"/>
      <c r="C4" s="123"/>
      <c r="D4" s="123"/>
      <c r="E4" s="123"/>
      <c r="F4" s="123"/>
      <c r="G4" s="123"/>
      <c r="H4" s="123"/>
      <c r="J4" s="152" t="str">
        <f>VLOOKUP("RETOURNIERUNG PER FAX:",Sprachindex!A:Z,Info!$O$6,FALSE)</f>
        <v>RETOURNIERUNG PER FAX:</v>
      </c>
      <c r="K4" s="260"/>
      <c r="L4" s="261"/>
      <c r="M4" s="262"/>
      <c r="N4" s="123"/>
      <c r="Q4" s="3"/>
    </row>
    <row r="5" spans="1:17" ht="17.25" customHeight="1">
      <c r="A5" s="123"/>
      <c r="B5" s="123"/>
      <c r="C5" s="123"/>
      <c r="D5" s="123"/>
      <c r="E5" s="123"/>
      <c r="F5" s="123"/>
      <c r="G5" s="123"/>
      <c r="H5" s="123"/>
      <c r="J5" s="152" t="str">
        <f>VLOOKUP("ODER EMAIL:",Sprachindex!A:Z,Info!$O$6,FALSE)</f>
        <v>ODER EMAIL:</v>
      </c>
      <c r="K5" s="260"/>
      <c r="L5" s="261"/>
      <c r="M5" s="262"/>
      <c r="N5" s="123"/>
      <c r="Q5" s="3"/>
    </row>
    <row r="6" spans="1:17" ht="17.25" customHeight="1">
      <c r="A6" s="123"/>
      <c r="B6" s="123"/>
      <c r="C6" s="123"/>
      <c r="D6" s="123"/>
      <c r="E6" s="123"/>
      <c r="F6" s="123"/>
      <c r="G6" s="123"/>
      <c r="H6" s="123"/>
      <c r="J6" s="152" t="str">
        <f>VLOOKUP("Datum:",Sprachindex!A:Z,Info!$O$6,FALSE)</f>
        <v>Datum:</v>
      </c>
      <c r="K6" s="260"/>
      <c r="L6" s="261"/>
      <c r="M6" s="262"/>
      <c r="N6" s="184">
        <v>0</v>
      </c>
      <c r="Q6" s="3"/>
    </row>
    <row r="7" spans="1:17" ht="17.25" customHeight="1">
      <c r="A7" s="151" t="str">
        <f>VLOOKUP("Firma / Besteller:",Sprachindex!A:Z,Info!$O$6,FALSE)</f>
        <v>Firma / Besteller: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P7" s="13"/>
    </row>
    <row r="8" spans="1:17" ht="15" customHeight="1">
      <c r="A8" s="123"/>
      <c r="B8" s="127" t="str">
        <f>VLOOKUP("Name:",Sprachindex!A:Z,Info!$O$6,FALSE)</f>
        <v>Name:</v>
      </c>
      <c r="C8" s="260"/>
      <c r="D8" s="261"/>
      <c r="E8" s="262"/>
      <c r="F8" s="123"/>
      <c r="G8" s="150" t="str">
        <f>VLOOKUP("Oberfläche:",Sprachindex!A:Z,Info!$O$6,FALSE)</f>
        <v>Oberfläche:</v>
      </c>
      <c r="H8" s="123"/>
      <c r="I8" s="124"/>
      <c r="J8" s="122"/>
      <c r="K8" s="123"/>
      <c r="L8" s="122" t="str">
        <f>VLOOKUP("glatt",Sprachindex!A:Z,Info!$O$6,FALSE)</f>
        <v>glatt</v>
      </c>
      <c r="M8" s="123"/>
      <c r="N8" s="165">
        <v>1</v>
      </c>
      <c r="O8" s="14"/>
      <c r="Q8" s="4"/>
    </row>
    <row r="9" spans="1:17" ht="15" customHeight="1">
      <c r="A9" s="123"/>
      <c r="B9" s="127" t="str">
        <f>VLOOKUP("Straße:",Sprachindex!A:Z,Info!$O$6,FALSE)</f>
        <v>Straße:</v>
      </c>
      <c r="C9" s="260"/>
      <c r="D9" s="261"/>
      <c r="E9" s="262"/>
      <c r="F9" s="123"/>
      <c r="G9" s="123"/>
      <c r="H9" s="123"/>
      <c r="I9" s="123"/>
      <c r="J9" s="124">
        <v>1</v>
      </c>
      <c r="K9" s="123"/>
      <c r="L9" s="123"/>
      <c r="M9" s="123"/>
      <c r="N9" s="124"/>
      <c r="Q9" s="4"/>
    </row>
    <row r="10" spans="1:17" ht="15" customHeight="1">
      <c r="A10" s="123"/>
      <c r="B10" s="127" t="str">
        <f>VLOOKUP("Ort:",Sprachindex!A:Z,Info!$O$6,FALSE)</f>
        <v>Ort:</v>
      </c>
      <c r="C10" s="260"/>
      <c r="D10" s="261"/>
      <c r="E10" s="262"/>
      <c r="F10" s="123"/>
      <c r="G10" s="150"/>
      <c r="H10" s="123"/>
      <c r="I10" s="157"/>
      <c r="J10" s="123"/>
      <c r="K10" s="123"/>
      <c r="L10" s="123"/>
      <c r="M10" s="123"/>
      <c r="N10" s="206">
        <v>2</v>
      </c>
      <c r="O10" s="14"/>
      <c r="Q10" s="4"/>
    </row>
    <row r="11" spans="1:17" ht="15" customHeight="1">
      <c r="A11" s="123"/>
      <c r="B11" s="123"/>
      <c r="C11" s="123"/>
      <c r="D11" s="123"/>
      <c r="E11" s="123"/>
      <c r="F11" s="123"/>
      <c r="G11" s="123"/>
      <c r="H11" s="123"/>
      <c r="I11" s="127"/>
      <c r="J11" s="124">
        <v>1</v>
      </c>
      <c r="K11" s="123"/>
      <c r="L11" s="123"/>
      <c r="M11" s="123"/>
      <c r="N11" s="124"/>
    </row>
    <row r="12" spans="1:17" ht="15" customHeight="1">
      <c r="A12" s="123"/>
      <c r="B12" s="127" t="str">
        <f>VLOOKUP("Ansprechpartner:",Sprachindex!A:Z,Info!$O$6,FALSE)</f>
        <v>Ansprechpartner:</v>
      </c>
      <c r="C12" s="260"/>
      <c r="D12" s="261"/>
      <c r="E12" s="262"/>
      <c r="F12" s="123"/>
      <c r="G12" s="150" t="str">
        <f>VLOOKUP("Service:",Sprachindex!A:Z,Info!$O$6,FALSE)</f>
        <v>Service:</v>
      </c>
      <c r="H12" s="123"/>
      <c r="I12" s="157" t="str">
        <f>VLOOKUP("Mengenermittlung/Anfrage",Sprachindex!A:Z,Info!$O$6,FALSE)</f>
        <v>Mengenermittlung/Anfrage</v>
      </c>
      <c r="J12" s="122"/>
      <c r="K12" s="123"/>
      <c r="L12" s="122" t="str">
        <f>VLOOKUP("Bestellung",Sprachindex!A:Z,Info!$O$6,FALSE)</f>
        <v>Bestellung</v>
      </c>
      <c r="M12" s="123"/>
      <c r="N12" s="165"/>
      <c r="O12" s="15"/>
      <c r="Q12" s="4"/>
    </row>
    <row r="13" spans="1:17" ht="15" customHeight="1">
      <c r="A13" s="123"/>
      <c r="B13" s="127" t="str">
        <f>VLOOKUP("Telefon:",Sprachindex!A:Z,Info!$O$6,FALSE)</f>
        <v>Telefon:</v>
      </c>
      <c r="C13" s="260"/>
      <c r="D13" s="261"/>
      <c r="E13" s="262"/>
      <c r="F13" s="123"/>
      <c r="G13" s="123"/>
      <c r="H13" s="123"/>
      <c r="I13" s="123"/>
      <c r="J13" s="123"/>
      <c r="K13" s="123"/>
      <c r="L13" s="123"/>
      <c r="M13" s="123"/>
      <c r="N13" s="124"/>
      <c r="Q13" s="4"/>
    </row>
    <row r="14" spans="1:17" ht="15" customHeight="1">
      <c r="A14" s="123"/>
      <c r="B14" s="127" t="str">
        <f>VLOOKUP("eMail:",Sprachindex!A:Z,Info!$O$6,FALSE)</f>
        <v>eMail:</v>
      </c>
      <c r="C14" s="260"/>
      <c r="D14" s="261"/>
      <c r="E14" s="262"/>
      <c r="F14" s="123"/>
      <c r="G14" s="159" t="str">
        <f>VLOOKUP("Farbe:",Sprachindex!A:Z,Info!$O$6,FALSE)</f>
        <v>Farbe:</v>
      </c>
      <c r="H14" s="123"/>
      <c r="I14" s="123"/>
      <c r="J14" s="123"/>
      <c r="K14" s="123"/>
      <c r="L14" s="123"/>
      <c r="M14" s="123"/>
      <c r="N14" s="124"/>
      <c r="Q14" s="4"/>
    </row>
    <row r="15" spans="1:17" ht="15" customHeight="1">
      <c r="A15" s="123"/>
      <c r="B15" s="123"/>
      <c r="C15" s="123"/>
      <c r="D15" s="123"/>
      <c r="E15" s="123"/>
      <c r="F15" s="123"/>
      <c r="G15" s="123" t="str">
        <f>VLOOKUP("01 braun",Sprachindex!A:Z,Info!$O$6,FALSE)</f>
        <v>01 braun</v>
      </c>
      <c r="H15" s="123"/>
      <c r="I15" s="122" t="str">
        <f>VLOOKUP("07 hellgrau",Sprachindex!A:Z,Info!$O$6,FALSE)</f>
        <v>07 hellgrau</v>
      </c>
      <c r="J15" s="123"/>
      <c r="K15" s="122"/>
      <c r="L15" s="123"/>
      <c r="M15" s="123"/>
      <c r="N15" s="124"/>
    </row>
    <row r="16" spans="1:17" ht="15" customHeight="1">
      <c r="A16" s="151" t="str">
        <f>VLOOKUP("Lieferadresse:",Sprachindex!A:Z,Info!$O$6,FALSE)</f>
        <v>Lieferadresse:</v>
      </c>
      <c r="B16" s="123"/>
      <c r="C16" s="123"/>
      <c r="D16" s="123"/>
      <c r="E16" s="123"/>
      <c r="F16" s="123"/>
      <c r="G16" s="123" t="str">
        <f>VLOOKUP("02 anthrazit",Sprachindex!A:Z,Info!$O$6,FALSE)</f>
        <v>02 anthrazit</v>
      </c>
      <c r="H16" s="123"/>
      <c r="I16" s="122" t="str">
        <f>VLOOKUP("08 zinkgrau",Sprachindex!A:Z,Info!$O$6,FALSE)</f>
        <v>08 zinkgrau</v>
      </c>
      <c r="J16" s="123"/>
      <c r="K16" s="179"/>
      <c r="L16" s="123"/>
      <c r="M16" s="123"/>
      <c r="N16" s="124"/>
      <c r="P16" s="13"/>
    </row>
    <row r="17" spans="1:45" ht="15" customHeight="1">
      <c r="A17" s="123"/>
      <c r="B17" s="127" t="str">
        <f>VLOOKUP("Name:",Sprachindex!A:Z,Info!$O$6,FALSE)</f>
        <v>Name:</v>
      </c>
      <c r="C17" s="260"/>
      <c r="D17" s="261"/>
      <c r="E17" s="262"/>
      <c r="F17" s="123"/>
      <c r="G17" s="123" t="str">
        <f>VLOOKUP("03 schwarz",Sprachindex!A:Z,Info!$O$6,FALSE)</f>
        <v>03 schwarz</v>
      </c>
      <c r="H17" s="123"/>
      <c r="I17" s="122" t="str">
        <f>VLOOKUP("10 prefaweiß",Sprachindex!A:Z,Info!$O$6,FALSE)</f>
        <v>10 prefaweiß</v>
      </c>
      <c r="J17" s="123"/>
      <c r="K17" s="185"/>
      <c r="L17" s="123"/>
      <c r="M17" s="123"/>
      <c r="N17" s="160"/>
      <c r="Q17" s="4"/>
      <c r="AN17"/>
      <c r="AO17"/>
      <c r="AP17"/>
      <c r="AQ17"/>
    </row>
    <row r="18" spans="1:45" ht="15" customHeight="1">
      <c r="A18" s="123"/>
      <c r="B18" s="127" t="str">
        <f>VLOOKUP("Kommission:",Sprachindex!A:Z,Info!$O$6,FALSE)</f>
        <v>Kommission:</v>
      </c>
      <c r="C18" s="260"/>
      <c r="D18" s="261"/>
      <c r="E18" s="262"/>
      <c r="F18" s="123"/>
      <c r="G18" s="123" t="str">
        <f>VLOOKUP("04 ziegelrot",Sprachindex!A:Z,Info!$O$6,FALSE)</f>
        <v>04 ziegelrot</v>
      </c>
      <c r="H18" s="123"/>
      <c r="I18" s="122" t="str">
        <f>VLOOKUP("11 nussbraun",Sprachindex!A:Z,Info!$O$6,FALSE)</f>
        <v>11 nussbraun</v>
      </c>
      <c r="J18" s="123"/>
      <c r="K18" s="123"/>
      <c r="L18" s="186"/>
      <c r="M18" s="123"/>
      <c r="N18" s="124"/>
      <c r="Q18" s="4"/>
      <c r="AN18" s="95"/>
      <c r="AO18" s="95"/>
      <c r="AP18" s="95"/>
      <c r="AQ18" s="95"/>
    </row>
    <row r="19" spans="1:45" ht="15" customHeight="1">
      <c r="A19" s="123"/>
      <c r="B19" s="127" t="str">
        <f>VLOOKUP("Straße:",Sprachindex!A:Z,Info!$O$6,FALSE)</f>
        <v>Straße:</v>
      </c>
      <c r="C19" s="260"/>
      <c r="D19" s="261"/>
      <c r="E19" s="262"/>
      <c r="F19" s="123"/>
      <c r="G19" s="123" t="str">
        <f>VLOOKUP("05 oxydrot",Sprachindex!A:Z,Info!$O$6,FALSE)</f>
        <v>05 oxydrot</v>
      </c>
      <c r="H19" s="123"/>
      <c r="I19" s="122" t="str">
        <f>VLOOKUP("12 silbermetallic",Sprachindex!A:Z,Info!$O$6,FALSE)</f>
        <v>12 silbermetallic</v>
      </c>
      <c r="J19" s="123"/>
      <c r="K19" s="123"/>
      <c r="L19" s="123"/>
      <c r="M19" s="123"/>
      <c r="N19" s="124"/>
      <c r="Q19" s="4"/>
    </row>
    <row r="20" spans="1:45" ht="15" customHeight="1">
      <c r="A20" s="123"/>
      <c r="B20" s="127" t="str">
        <f>VLOOKUP("Ort:",Sprachindex!A:Z,Info!$O$6,FALSE)</f>
        <v>Ort:</v>
      </c>
      <c r="C20" s="260"/>
      <c r="D20" s="261"/>
      <c r="E20" s="262"/>
      <c r="F20" s="123"/>
      <c r="G20" s="123" t="str">
        <f>VLOOKUP("06 moosgrün",Sprachindex!A:Z,Info!$O$6,FALSE)</f>
        <v>06 moosgrün</v>
      </c>
      <c r="H20" s="123"/>
      <c r="I20" s="123" t="str">
        <f>VLOOKUP("13 naturblank",Sprachindex!A:Z,Info!$O$6,FALSE)</f>
        <v>13 naturblank</v>
      </c>
      <c r="J20" s="123"/>
      <c r="K20" s="123"/>
      <c r="L20" s="123"/>
      <c r="M20" s="123"/>
      <c r="N20" s="165"/>
      <c r="Q20" s="4"/>
    </row>
    <row r="21" spans="1:45" ht="15" customHeight="1">
      <c r="A21" s="123"/>
      <c r="B21" s="127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Q21" s="4"/>
    </row>
    <row r="22" spans="1:45" ht="15" customHeight="1" thickBot="1">
      <c r="A22" s="166" t="str">
        <f>VLOOKUP("Filter:",Sprachindex!A:Z,Info!$O$6,FALSE)</f>
        <v>Filter:</v>
      </c>
      <c r="B22" s="285"/>
      <c r="C22" s="285"/>
      <c r="D22" s="285"/>
      <c r="E22" s="285"/>
      <c r="F22" s="123"/>
      <c r="G22" s="123"/>
      <c r="H22" s="123"/>
      <c r="I22" s="123"/>
      <c r="J22" s="123"/>
      <c r="K22" s="123"/>
      <c r="L22" s="123"/>
      <c r="M22" s="123"/>
      <c r="N22" s="123"/>
      <c r="AF22" s="96" t="s">
        <v>1582</v>
      </c>
      <c r="AS22" s="96" t="s">
        <v>1581</v>
      </c>
    </row>
    <row r="23" spans="1:45" ht="35.1" customHeight="1" thickBot="1">
      <c r="A23" s="128" t="str">
        <f>VLOOKUP("Menge",Sprachindex!A:Z,Info!$O$6,FALSE)</f>
        <v>Menge</v>
      </c>
      <c r="B23" s="207" t="str">
        <f>VLOOKUP("Einheit",Sprachindex!A:Z,Info!$O$6,FALSE)</f>
        <v>Einheit</v>
      </c>
      <c r="C23" s="129" t="str">
        <f>VLOOKUP("Abbildung",Sprachindex!A:Z,Info!$O$6,FALSE)</f>
        <v>Abbildung</v>
      </c>
      <c r="D23" s="129" t="str">
        <f>VLOOKUP("Artikel Nr.",Sprachindex!A:Z,Info!$O$6,FALSE)</f>
        <v>Artikel Nr.</v>
      </c>
      <c r="E23" s="286" t="str">
        <f>VLOOKUP("Bezeichnung",Sprachindex!A:Z,Info!$O$6,FALSE)</f>
        <v>Bezeichnung</v>
      </c>
      <c r="F23" s="287"/>
      <c r="G23" s="287"/>
      <c r="H23" s="287"/>
      <c r="I23" s="287"/>
      <c r="J23" s="287"/>
      <c r="K23" s="288"/>
      <c r="L23" s="129" t="str">
        <f>VLOOKUP("Total",Sprachindex!A:Z,Info!$O$6,FALSE)</f>
        <v>Total</v>
      </c>
      <c r="M23" s="130" t="str">
        <f>VLOOKUP("Eventual",Sprachindex!A:Z,Info!$O$6,FALSE)</f>
        <v>Eventual</v>
      </c>
      <c r="N23" s="123"/>
      <c r="O23" s="1"/>
      <c r="Q23" s="12"/>
      <c r="T23" s="99" t="s">
        <v>702</v>
      </c>
      <c r="U23" s="99" t="s">
        <v>1563</v>
      </c>
      <c r="V23" s="99" t="s">
        <v>3015</v>
      </c>
      <c r="W23" s="99" t="s">
        <v>1570</v>
      </c>
      <c r="X23" s="99" t="s">
        <v>3027</v>
      </c>
      <c r="Y23" s="99" t="s">
        <v>1578</v>
      </c>
      <c r="Z23" s="99" t="s">
        <v>3022</v>
      </c>
      <c r="AA23" s="99" t="s">
        <v>3023</v>
      </c>
      <c r="AB23" s="99" t="s">
        <v>3024</v>
      </c>
      <c r="AC23" s="99" t="s">
        <v>3021</v>
      </c>
      <c r="AD23" s="99" t="s">
        <v>3026</v>
      </c>
      <c r="AE23" s="101" t="s">
        <v>3028</v>
      </c>
      <c r="AG23" s="102" t="s">
        <v>702</v>
      </c>
      <c r="AH23" s="99" t="s">
        <v>1563</v>
      </c>
      <c r="AI23" s="99" t="s">
        <v>3015</v>
      </c>
      <c r="AJ23" s="99" t="s">
        <v>1570</v>
      </c>
      <c r="AK23" s="99" t="s">
        <v>3027</v>
      </c>
      <c r="AL23" s="99" t="s">
        <v>1578</v>
      </c>
      <c r="AM23" s="99" t="s">
        <v>3022</v>
      </c>
      <c r="AN23" s="99" t="s">
        <v>3023</v>
      </c>
      <c r="AO23" s="99" t="s">
        <v>3024</v>
      </c>
      <c r="AP23" s="99" t="s">
        <v>3021</v>
      </c>
      <c r="AQ23" s="99" t="s">
        <v>3026</v>
      </c>
      <c r="AR23" s="101" t="s">
        <v>3028</v>
      </c>
    </row>
    <row r="24" spans="1:45" ht="32.1" customHeight="1">
      <c r="A24" s="162"/>
      <c r="B24" s="197" t="str">
        <f>VLOOKUP("lfm",Sprachindex!A:Z,Info!$O$6,FALSE)</f>
        <v>lfm</v>
      </c>
      <c r="C24" s="132"/>
      <c r="D24" s="136">
        <f>IF(J24=Formeln!A148,AF24,IF(J24=Formeln!A149,AS24,0))</f>
        <v>0</v>
      </c>
      <c r="E24" s="312" t="str">
        <f>VLOOKUP("PREFA Quadratrohr",Sprachindex!A:Z,Info!$O$6,FALSE)</f>
        <v>PREFA Quadratrohr</v>
      </c>
      <c r="F24" s="313"/>
      <c r="G24" s="313"/>
      <c r="H24" s="314" t="str">
        <f>VLOOKUP("Rohrlänge wählen:",Sprachindex!A:Z,Info!$O$6,FALSE)</f>
        <v>Rohrlänge wählen:</v>
      </c>
      <c r="I24" s="315"/>
      <c r="J24" s="269"/>
      <c r="K24" s="270"/>
      <c r="L24" s="137" t="str">
        <f t="shared" ref="L24:L40" si="0">IF(A24=0,"",IF($N$10=1,P24,Q24))</f>
        <v/>
      </c>
      <c r="M24" s="181"/>
      <c r="N24" s="123"/>
      <c r="O24" s="1"/>
      <c r="P24" s="11"/>
      <c r="Q24" s="11" t="str">
        <f>IF(J24=Formeln!A148,ROUNDUP(A24/1.5,0)*1.5 &amp;" " &amp; VLOOKUP("lfm",Sprachindex!A:Z,Info!$O$6,FALSE),IF(J24=Formeln!A149,ROUNDUP(A24/3,0)*3 &amp;" " &amp; VLOOKUP("lfm",Sprachindex!A:Z,Info!$O$6,FALSE),""))</f>
        <v/>
      </c>
      <c r="R24" s="11"/>
      <c r="T24" s="100" t="s">
        <v>1583</v>
      </c>
      <c r="U24" s="100">
        <v>150120</v>
      </c>
      <c r="V24" s="100">
        <v>150121</v>
      </c>
      <c r="W24" s="100">
        <v>150123</v>
      </c>
      <c r="X24" s="100">
        <v>150124</v>
      </c>
      <c r="Y24" s="100">
        <v>150125</v>
      </c>
      <c r="Z24" s="100" t="s">
        <v>1579</v>
      </c>
      <c r="AA24" s="100" t="s">
        <v>1579</v>
      </c>
      <c r="AB24" s="100" t="s">
        <v>1579</v>
      </c>
      <c r="AC24" s="100" t="s">
        <v>1579</v>
      </c>
      <c r="AD24" s="100" t="s">
        <v>1579</v>
      </c>
      <c r="AE24" s="100" t="s">
        <v>1579</v>
      </c>
      <c r="AF24" s="105">
        <f>IF($N$20=1,V24,IF($N$20=2,T24,IF($N$20=3,AC24,IF($N$20=4,Z24,IF($N$20=5,AA24,IF($N$20=6,AB24,IF($N$20=7,W24,IF($N$20=8,AD24,IF($N$20=9,X24,IF($N$20=10,AE24,IF($N$20=11,Y24,IF($N$20=12,U24,0))))))))))))</f>
        <v>0</v>
      </c>
      <c r="AG24" s="106">
        <v>150102</v>
      </c>
      <c r="AH24" s="100">
        <v>150100</v>
      </c>
      <c r="AI24" s="100">
        <v>150101</v>
      </c>
      <c r="AJ24" s="100">
        <v>150103</v>
      </c>
      <c r="AK24" s="100">
        <v>150104</v>
      </c>
      <c r="AL24" s="100">
        <v>150105</v>
      </c>
      <c r="AM24" s="100" t="s">
        <v>1580</v>
      </c>
      <c r="AN24" s="100" t="s">
        <v>1580</v>
      </c>
      <c r="AO24" s="100" t="s">
        <v>1580</v>
      </c>
      <c r="AP24" s="100" t="s">
        <v>1580</v>
      </c>
      <c r="AQ24" s="100" t="s">
        <v>1580</v>
      </c>
      <c r="AR24" s="100" t="s">
        <v>1580</v>
      </c>
      <c r="AS24" s="96">
        <f>IF($N$20=1,AI24,IF($N$20=2,AG24,IF($N$20=3,AP24,IF($N$20=4,AM24,IF($N$20=5,AN24,IF($N$20=6,AO24,IF($N$20=7,AJ24,IF($N$20=8,AQ24,IF($N$20=9,AK24,IF($N$20=10,AR24,IF($N$20=11,AL24,IF($N$20=12,AH24,0))))))))))))</f>
        <v>0</v>
      </c>
    </row>
    <row r="25" spans="1:45" ht="32.1" customHeight="1">
      <c r="A25" s="187"/>
      <c r="B25" s="197" t="str">
        <f>VLOOKUP("STK",Sprachindex!A:Z,Info!$O$6,FALSE)</f>
        <v>STK</v>
      </c>
      <c r="C25" s="188"/>
      <c r="D25" s="136">
        <v>150050</v>
      </c>
      <c r="E25" s="316" t="str">
        <f>VLOOKUP("PREFA Halteklemme",Sprachindex!A:Z,Info!$O$6,FALSE)</f>
        <v>PREFA Halteklemme</v>
      </c>
      <c r="F25" s="317"/>
      <c r="G25" s="317"/>
      <c r="H25" s="317"/>
      <c r="I25" s="317"/>
      <c r="J25" s="317"/>
      <c r="K25" s="318"/>
      <c r="L25" s="137" t="str">
        <f t="shared" si="0"/>
        <v/>
      </c>
      <c r="M25" s="183"/>
      <c r="N25" s="123"/>
      <c r="O25" s="1"/>
      <c r="P25" s="11"/>
      <c r="Q25" s="11" t="str">
        <f>A25 &amp;" " &amp; VLOOKUP("Stk",Sprachindex!A:Z,Info!$O$6,FALSE)</f>
        <v xml:space="preserve"> STK</v>
      </c>
      <c r="R25" s="11"/>
      <c r="T25"/>
      <c r="AC25"/>
    </row>
    <row r="26" spans="1:45" ht="32.1" customHeight="1">
      <c r="A26" s="187"/>
      <c r="B26" s="197" t="str">
        <f>VLOOKUP("STK",Sprachindex!A:Z,Info!$O$6,FALSE)</f>
        <v>STK</v>
      </c>
      <c r="C26" s="188"/>
      <c r="D26" s="136">
        <v>150051</v>
      </c>
      <c r="E26" s="316" t="str">
        <f>VLOOKUP("PREFA Blitzschutzklemme",Sprachindex!A:Z,Info!$O$6,FALSE)</f>
        <v>PREFA Blitzschutzklemme</v>
      </c>
      <c r="F26" s="317"/>
      <c r="G26" s="317"/>
      <c r="H26" s="317"/>
      <c r="I26" s="317"/>
      <c r="J26" s="317"/>
      <c r="K26" s="318"/>
      <c r="L26" s="137" t="str">
        <f t="shared" si="0"/>
        <v/>
      </c>
      <c r="M26" s="183"/>
      <c r="N26" s="123"/>
      <c r="O26" s="1"/>
      <c r="P26" s="11"/>
      <c r="Q26" s="11" t="str">
        <f>A26 &amp;" " &amp; VLOOKUP("Stk",Sprachindex!A:Z,Info!$O$6,FALSE)</f>
        <v xml:space="preserve"> STK</v>
      </c>
      <c r="R26" s="11"/>
      <c r="T26" s="99" t="s">
        <v>702</v>
      </c>
      <c r="U26" s="99" t="s">
        <v>1563</v>
      </c>
      <c r="V26" s="99" t="s">
        <v>3015</v>
      </c>
      <c r="W26" s="99" t="s">
        <v>1570</v>
      </c>
      <c r="X26" s="99" t="s">
        <v>3027</v>
      </c>
      <c r="Y26" s="99" t="s">
        <v>1578</v>
      </c>
      <c r="Z26" s="99" t="s">
        <v>3022</v>
      </c>
      <c r="AA26" s="99" t="s">
        <v>3023</v>
      </c>
      <c r="AB26" s="99" t="s">
        <v>3024</v>
      </c>
      <c r="AC26" s="99" t="s">
        <v>3021</v>
      </c>
      <c r="AD26" s="99" t="s">
        <v>3026</v>
      </c>
      <c r="AE26" s="101" t="s">
        <v>3028</v>
      </c>
    </row>
    <row r="27" spans="1:45" ht="32.1" customHeight="1">
      <c r="A27" s="187"/>
      <c r="B27" s="197" t="str">
        <f>VLOOKUP("STK",Sprachindex!A:Z,Info!$O$6,FALSE)</f>
        <v>STK</v>
      </c>
      <c r="C27" s="188"/>
      <c r="D27" s="136">
        <f>IF($N$20=1,V27,IF($N$20=2,T27,IF($N$20=3,AC27,IF($N$20=4,Z27,IF($N$20=5,AA27,IF($N$20=6,AB27,IF($N$20=7,W27,IF($N$20=8,AD27,IF($N$20=9,X27,IF($N$20=10,AE27,IF($N$20=11,Y27,IF($N$20=12,U27,0))))))))))))</f>
        <v>0</v>
      </c>
      <c r="E27" s="283" t="str">
        <f>VLOOKUP("PREFA Quadratrohrbogen 72° lang",Sprachindex!A:Z,Info!$O$6,FALSE)</f>
        <v>PREFA Quadratrohrbogen 72° lang</v>
      </c>
      <c r="F27" s="284"/>
      <c r="G27" s="284"/>
      <c r="H27" s="284"/>
      <c r="I27" s="284"/>
      <c r="J27" s="284"/>
      <c r="K27" s="319"/>
      <c r="L27" s="137" t="str">
        <f t="shared" si="0"/>
        <v/>
      </c>
      <c r="M27" s="183"/>
      <c r="N27" s="123"/>
      <c r="O27" s="1"/>
      <c r="P27" s="11"/>
      <c r="Q27" s="11" t="str">
        <f>A27 &amp;" " &amp; VLOOKUP("Stk",Sprachindex!A:Z,Info!$O$6,FALSE)</f>
        <v xml:space="preserve"> STK</v>
      </c>
      <c r="R27" s="11"/>
      <c r="T27" s="100">
        <v>150202</v>
      </c>
      <c r="U27" s="100">
        <v>150200</v>
      </c>
      <c r="V27" s="100">
        <v>150201</v>
      </c>
      <c r="W27" s="100">
        <v>150204</v>
      </c>
      <c r="X27" s="100">
        <v>150203</v>
      </c>
      <c r="Y27" s="100">
        <v>150205</v>
      </c>
      <c r="Z27" s="103"/>
      <c r="AA27" s="103"/>
      <c r="AB27" s="103"/>
      <c r="AC27" s="104"/>
      <c r="AD27" s="103"/>
      <c r="AE27" s="103"/>
    </row>
    <row r="28" spans="1:45" ht="32.1" customHeight="1">
      <c r="A28" s="187"/>
      <c r="B28" s="197" t="str">
        <f>VLOOKUP("STK",Sprachindex!A:Z,Info!$O$6,FALSE)</f>
        <v>STK</v>
      </c>
      <c r="C28" s="136"/>
      <c r="D28" s="136">
        <f>IF($N$20=1,V28,IF($N$20=2,T28,IF($N$20=3,AC28,IF($N$20=4,Z28,IF($N$20=5,AA28,IF($N$20=6,AB28,IF($N$20=7,W28,IF($N$20=8,AD28,IF($N$20=9,X28,IF($N$20=10,AE28,IF($N$20=11,Y28,IF($N$20=12,U28,0))))))))))))</f>
        <v>0</v>
      </c>
      <c r="E28" s="283" t="str">
        <f>VLOOKUP("PREFA Quadratrohrbogen 72° kurz",Sprachindex!A:Z,Info!$O$6,FALSE)</f>
        <v>PREFA Quadratrohrbogen 72° kurz</v>
      </c>
      <c r="F28" s="284"/>
      <c r="G28" s="284"/>
      <c r="H28" s="284"/>
      <c r="I28" s="284"/>
      <c r="J28" s="284"/>
      <c r="K28" s="319"/>
      <c r="L28" s="137" t="str">
        <f t="shared" si="0"/>
        <v/>
      </c>
      <c r="M28" s="183"/>
      <c r="N28" s="123"/>
      <c r="O28" s="1"/>
      <c r="P28" s="11"/>
      <c r="Q28" s="11" t="str">
        <f>A28 &amp;" " &amp; VLOOKUP("Stk",Sprachindex!A:Z,Info!$O$6,FALSE)</f>
        <v xml:space="preserve"> STK</v>
      </c>
      <c r="R28" s="11"/>
      <c r="T28" s="100">
        <v>150262</v>
      </c>
      <c r="U28" s="100">
        <v>150260</v>
      </c>
      <c r="V28" s="100">
        <v>150261</v>
      </c>
      <c r="W28" s="100">
        <v>150263</v>
      </c>
      <c r="X28" s="100">
        <v>150264</v>
      </c>
      <c r="Y28" s="100">
        <v>150265</v>
      </c>
      <c r="Z28" s="103"/>
      <c r="AA28" s="103"/>
      <c r="AB28" s="103"/>
      <c r="AC28" s="103"/>
      <c r="AD28" s="103"/>
      <c r="AE28" s="103"/>
    </row>
    <row r="29" spans="1:45" ht="32.1" customHeight="1">
      <c r="A29" s="187"/>
      <c r="B29" s="197" t="str">
        <f>VLOOKUP("STK",Sprachindex!A:Z,Info!$O$6,FALSE)</f>
        <v>STK</v>
      </c>
      <c r="C29" s="136"/>
      <c r="D29" s="136">
        <f>IF($N$20=1,V29,IF($N$20=2,T29,IF($N$20=3,AC29,IF($N$20=4,Z29,IF($N$20=5,AA29,IF($N$20=6,AB29,IF($N$20=7,W29,IF($N$20=8,AD29,IF($N$20=9,X29,IF($N$20=10,AE29,IF($N$20=11,Y29,IF($N$20=12,U29,0))))))))))))</f>
        <v>0</v>
      </c>
      <c r="E29" s="283" t="str">
        <f>VLOOKUP("PREFA Quadratrohr-Wasserfangkasten 220/220/330",Sprachindex!A:Z,Info!$O$6,FALSE)</f>
        <v>PREFA Quadratrohr-Wasserfangkasten 220/220/330</v>
      </c>
      <c r="F29" s="284"/>
      <c r="G29" s="284"/>
      <c r="H29" s="284"/>
      <c r="I29" s="284"/>
      <c r="J29" s="284"/>
      <c r="K29" s="319"/>
      <c r="L29" s="137" t="str">
        <f t="shared" si="0"/>
        <v/>
      </c>
      <c r="M29" s="183"/>
      <c r="N29" s="123"/>
      <c r="O29" s="1"/>
      <c r="P29" s="11"/>
      <c r="Q29" s="11" t="str">
        <f>A29 &amp;" " &amp; VLOOKUP("Stk",Sprachindex!A:Z,Info!$O$6,FALSE)</f>
        <v xml:space="preserve"> STK</v>
      </c>
      <c r="R29" s="11"/>
      <c r="T29" s="95">
        <v>150302</v>
      </c>
      <c r="U29" s="95">
        <v>150300</v>
      </c>
      <c r="V29" s="95">
        <v>150301</v>
      </c>
      <c r="W29" s="95">
        <v>150303</v>
      </c>
      <c r="X29" s="95">
        <v>150304</v>
      </c>
      <c r="Y29" s="95">
        <v>150305</v>
      </c>
      <c r="Z29" s="103"/>
      <c r="AA29" s="103"/>
      <c r="AB29" s="103"/>
      <c r="AC29" s="103"/>
      <c r="AD29" s="103"/>
      <c r="AE29" s="103"/>
    </row>
    <row r="30" spans="1:45" ht="32.1" customHeight="1">
      <c r="A30" s="187"/>
      <c r="B30" s="197" t="str">
        <f>VLOOKUP("STK",Sprachindex!A:Z,Info!$O$6,FALSE)</f>
        <v>STK</v>
      </c>
      <c r="C30" s="136"/>
      <c r="D30" s="136">
        <f>IF(I30=Formeln!A151,AF30,IF(I30=Formeln!A152,AS30,0))</f>
        <v>0</v>
      </c>
      <c r="E30" s="283" t="str">
        <f>VLOOKUP("PREFA Quadratrohr-Muffe",Sprachindex!A:Z,Info!$O$6,FALSE)</f>
        <v>PREFA Quadratrohr-Muffe</v>
      </c>
      <c r="F30" s="284"/>
      <c r="G30" s="284"/>
      <c r="H30" s="189" t="str">
        <f>VLOOKUP("Dimension wählen:",Sprachindex!A:Z,Info!$O$6,FALSE)</f>
        <v>Dimension wählen:</v>
      </c>
      <c r="I30" s="269"/>
      <c r="J30" s="270"/>
      <c r="K30" s="270"/>
      <c r="L30" s="137" t="str">
        <f t="shared" si="0"/>
        <v/>
      </c>
      <c r="M30" s="183"/>
      <c r="N30" s="123"/>
      <c r="O30" s="1"/>
      <c r="P30" s="11"/>
      <c r="Q30" s="11" t="str">
        <f>A30 &amp;" " &amp; VLOOKUP("Stk",Sprachindex!A:Z,Info!$O$6,FALSE)</f>
        <v xml:space="preserve"> STK</v>
      </c>
      <c r="R30" s="11"/>
      <c r="T30" s="95">
        <v>150382</v>
      </c>
      <c r="U30" s="95">
        <v>150380</v>
      </c>
      <c r="V30" s="95">
        <v>150381</v>
      </c>
      <c r="W30" s="95">
        <v>150383</v>
      </c>
      <c r="X30" s="95">
        <v>150384</v>
      </c>
      <c r="Y30" s="95">
        <v>150385</v>
      </c>
      <c r="Z30" s="103"/>
      <c r="AA30" s="103"/>
      <c r="AB30" s="103"/>
      <c r="AC30" s="104"/>
      <c r="AD30" s="103"/>
      <c r="AE30" s="103"/>
      <c r="AF30" s="96">
        <f>IF($N$20=1,V30,IF($N$20=2,T30,IF($N$20=3,AC30,IF($N$20=4,Z30,IF($N$20=5,AA30,IF($N$20=6,AB30,IF($N$20=7,W30,IF($N$20=8,AD30,IF($N$20=9,X30,IF($N$20=10,AE30,IF($N$20=11,Y30,IF($N$20=12,U30,0))))))))))))</f>
        <v>0</v>
      </c>
      <c r="AG30" s="95">
        <v>150362</v>
      </c>
      <c r="AH30" s="95">
        <v>150360</v>
      </c>
      <c r="AI30" s="95">
        <v>150361</v>
      </c>
      <c r="AJ30" s="95">
        <v>150363</v>
      </c>
      <c r="AK30" s="95">
        <v>150364</v>
      </c>
      <c r="AL30" s="95">
        <v>150365</v>
      </c>
      <c r="AM30" s="103"/>
      <c r="AN30" s="103"/>
      <c r="AO30" s="103"/>
      <c r="AP30" s="104"/>
      <c r="AQ30" s="103"/>
      <c r="AR30" s="103"/>
      <c r="AS30" s="96">
        <f>IF($N$20=1,AI30,IF($N$20=2,AG30,IF($N$20=3,AP30,IF($N$20=4,AM30,IF($N$20=5,AN30,IF($N$20=6,AO30,IF($N$20=7,AJ30,IF($N$20=8,AQ30,IF($N$20=9,AK30,IF($N$20=10,AR30,IF($N$20=11,AL30,IF($N$20=12,AH30,0))))))))))))</f>
        <v>0</v>
      </c>
    </row>
    <row r="31" spans="1:45" ht="32.1" customHeight="1">
      <c r="A31" s="187"/>
      <c r="B31" s="197" t="str">
        <f>VLOOKUP("STK",Sprachindex!A:Z,Info!$O$6,FALSE)</f>
        <v>STK</v>
      </c>
      <c r="C31" s="136"/>
      <c r="D31" s="136">
        <v>150052</v>
      </c>
      <c r="E31" s="283" t="str">
        <f>VLOOKUP("PREFA Gummidichtung passend für HT/KG (NW 110 mm)",Sprachindex!A:Z,Info!$O$6,FALSE)</f>
        <v>PREFA Gummidichtung passend für HT/KG (NW 110 mm)</v>
      </c>
      <c r="F31" s="284"/>
      <c r="G31" s="284"/>
      <c r="H31" s="284"/>
      <c r="I31" s="284"/>
      <c r="J31" s="284"/>
      <c r="K31" s="319"/>
      <c r="L31" s="137" t="str">
        <f t="shared" si="0"/>
        <v/>
      </c>
      <c r="M31" s="183"/>
      <c r="N31" s="123"/>
      <c r="O31" s="1"/>
      <c r="P31" s="11"/>
      <c r="Q31" s="11" t="str">
        <f>A31 &amp;" " &amp; VLOOKUP("Stk",Sprachindex!A:Z,Info!$O$6,FALSE)</f>
        <v xml:space="preserve"> STK</v>
      </c>
      <c r="R31" s="11"/>
      <c r="T31" s="99" t="s">
        <v>702</v>
      </c>
      <c r="U31" s="99" t="s">
        <v>1563</v>
      </c>
      <c r="V31" s="99" t="s">
        <v>3015</v>
      </c>
      <c r="W31" s="99" t="s">
        <v>1570</v>
      </c>
      <c r="X31" s="99" t="s">
        <v>3027</v>
      </c>
      <c r="Y31" s="99" t="s">
        <v>1578</v>
      </c>
      <c r="Z31" s="99" t="s">
        <v>3022</v>
      </c>
      <c r="AA31" s="99" t="s">
        <v>3023</v>
      </c>
      <c r="AB31" s="99" t="s">
        <v>3024</v>
      </c>
      <c r="AC31" s="99" t="s">
        <v>3021</v>
      </c>
      <c r="AD31" s="99" t="s">
        <v>3026</v>
      </c>
      <c r="AE31" s="101" t="s">
        <v>3028</v>
      </c>
      <c r="AG31" s="99" t="s">
        <v>702</v>
      </c>
      <c r="AH31" s="99" t="s">
        <v>1563</v>
      </c>
      <c r="AI31" s="99" t="s">
        <v>3015</v>
      </c>
      <c r="AJ31" s="99" t="s">
        <v>1570</v>
      </c>
      <c r="AK31" s="99" t="s">
        <v>3027</v>
      </c>
      <c r="AL31" s="99" t="s">
        <v>1578</v>
      </c>
      <c r="AM31" s="99" t="s">
        <v>3022</v>
      </c>
      <c r="AN31" s="99" t="s">
        <v>3023</v>
      </c>
      <c r="AO31" s="99" t="s">
        <v>3024</v>
      </c>
      <c r="AP31" s="99" t="s">
        <v>3021</v>
      </c>
      <c r="AQ31" s="99" t="s">
        <v>3026</v>
      </c>
      <c r="AR31" s="101" t="s">
        <v>3028</v>
      </c>
    </row>
    <row r="32" spans="1:45" ht="32.1" customHeight="1">
      <c r="A32" s="187"/>
      <c r="B32" s="197" t="str">
        <f>VLOOKUP("STK",Sprachindex!A:Z,Info!$O$6,FALSE)</f>
        <v>STK</v>
      </c>
      <c r="C32" s="136"/>
      <c r="D32" s="136">
        <f>IF(I32=Formeln!A154,AF32,IF(I32=Formeln!A155,AS32,0))</f>
        <v>0</v>
      </c>
      <c r="E32" s="283" t="str">
        <f>VLOOKUP("PREFA Quadratrohrkessel für Kastenrinne",Sprachindex!A:Z,Info!$O$6,FALSE)</f>
        <v>PREFA Quadratrohrkessel für Kastenrinne</v>
      </c>
      <c r="F32" s="284"/>
      <c r="G32" s="284"/>
      <c r="H32" s="189" t="str">
        <f>VLOOKUP("Dimension wählen:",Sprachindex!A:Z,Info!$O$6,FALSE)</f>
        <v>Dimension wählen:</v>
      </c>
      <c r="I32" s="269"/>
      <c r="J32" s="270"/>
      <c r="K32" s="270"/>
      <c r="L32" s="137" t="str">
        <f t="shared" si="0"/>
        <v/>
      </c>
      <c r="M32" s="183"/>
      <c r="N32" s="123"/>
      <c r="O32" s="1"/>
      <c r="P32" s="11"/>
      <c r="Q32" s="11" t="str">
        <f>A32 &amp;" " &amp; VLOOKUP("Stk",Sprachindex!A:Z,Info!$O$6,FALSE)</f>
        <v xml:space="preserve"> STK</v>
      </c>
      <c r="R32" s="11"/>
      <c r="T32" s="95">
        <v>150402</v>
      </c>
      <c r="U32" s="95">
        <v>150400</v>
      </c>
      <c r="V32" s="95">
        <v>150401</v>
      </c>
      <c r="W32" s="95">
        <v>150403</v>
      </c>
      <c r="X32" s="95">
        <v>150404</v>
      </c>
      <c r="Y32" s="95">
        <v>150405</v>
      </c>
      <c r="Z32" s="103"/>
      <c r="AA32" s="103"/>
      <c r="AB32" s="103"/>
      <c r="AC32" s="104"/>
      <c r="AD32" s="103"/>
      <c r="AE32" s="103"/>
      <c r="AF32" s="96">
        <f>IF($N$20=1,V32,IF($N$20=2,T32,IF($N$20=3,AC32,IF($N$20=4,Z32,IF($N$20=5,AA32,IF($N$20=6,AB32,IF($N$20=7,W32,IF($N$20=8,AD32,IF($N$20=9,X32,IF($N$20=10,AE32,IF($N$20=11,Y32,IF($N$20=12,U32,0))))))))))))</f>
        <v>0</v>
      </c>
      <c r="AG32" s="95">
        <v>150422</v>
      </c>
      <c r="AH32" s="95">
        <v>150420</v>
      </c>
      <c r="AI32" s="95">
        <v>150421</v>
      </c>
      <c r="AJ32" s="95">
        <v>150423</v>
      </c>
      <c r="AK32" s="95">
        <v>150424</v>
      </c>
      <c r="AL32" s="95">
        <v>150425</v>
      </c>
      <c r="AM32" s="103"/>
      <c r="AN32" s="103"/>
      <c r="AO32" s="103"/>
      <c r="AP32" s="104"/>
      <c r="AQ32" s="103"/>
      <c r="AR32" s="103"/>
      <c r="AS32" s="96">
        <f>IF($N$20=1,AI32,IF($N$20=2,AG32,IF($N$20=3,AP32,IF($N$20=4,AM32,IF($N$20=5,AN32,IF($N$20=6,AO32,IF($N$20=7,AJ32,IF($N$20=8,AQ32,IF($N$20=9,AK32,IF($N$20=10,AR32,IF($N$20=11,AL32,IF($N$20=12,AH32,0))))))))))))</f>
        <v>0</v>
      </c>
    </row>
    <row r="33" spans="1:31" ht="32.1" customHeight="1">
      <c r="A33" s="187"/>
      <c r="B33" s="197" t="str">
        <f>VLOOKUP("STK",Sprachindex!A:Z,Info!$O$6,FALSE)</f>
        <v>STK</v>
      </c>
      <c r="C33" s="136"/>
      <c r="D33" s="136">
        <f>IF($N$20=1,V33,IF($N$20=2,T33,IF($N$20=3,AC33,IF($N$20=4,Z33,IF($N$20=5,AA33,IF($N$20=6,AB33,IF($N$20=7,W33,IF($N$20=8,AD33,IF($N$20=9,X33,IF($N$20=10,AE33,IF($N$20=11,Y33,IF($N$20=12,U33,0))))))))))))</f>
        <v>0</v>
      </c>
      <c r="E33" s="283" t="str">
        <f>VLOOKUP("PREFA Quadratrohr-Speiereinmündung",Sprachindex!A:Z,Info!$O$6,FALSE)</f>
        <v>PREFA Quadratrohr-Speiereinmündung</v>
      </c>
      <c r="F33" s="284"/>
      <c r="G33" s="284"/>
      <c r="H33" s="284"/>
      <c r="I33" s="284"/>
      <c r="J33" s="284"/>
      <c r="K33" s="319"/>
      <c r="L33" s="137" t="str">
        <f t="shared" si="0"/>
        <v/>
      </c>
      <c r="M33" s="183"/>
      <c r="N33" s="123"/>
      <c r="O33" s="25"/>
      <c r="P33" s="11"/>
      <c r="Q33" s="11" t="str">
        <f>A33 &amp;" " &amp; VLOOKUP("Stk",Sprachindex!A:Z,Info!$O$6,FALSE)</f>
        <v xml:space="preserve"> STK</v>
      </c>
      <c r="R33" s="8">
        <f>IF(H33=Formeln!A2,570,IF(H33=Formeln!A3,480,IF(H33=Formeln!A4,380,0)))</f>
        <v>0</v>
      </c>
      <c r="T33" s="95">
        <v>150502</v>
      </c>
      <c r="U33" s="95">
        <v>150500</v>
      </c>
      <c r="V33" s="95">
        <v>150501</v>
      </c>
      <c r="W33" s="95">
        <v>150503</v>
      </c>
      <c r="X33" s="95">
        <v>150504</v>
      </c>
      <c r="Y33" s="95">
        <v>150505</v>
      </c>
      <c r="Z33" s="103"/>
      <c r="AA33" s="103"/>
      <c r="AB33" s="103"/>
      <c r="AC33" s="104"/>
      <c r="AD33" s="103"/>
      <c r="AE33" s="103"/>
    </row>
    <row r="34" spans="1:31" ht="32.1" customHeight="1">
      <c r="A34" s="187"/>
      <c r="B34" s="197" t="str">
        <f>VLOOKUP("STK",Sprachindex!A:Z,Info!$O$6,FALSE)</f>
        <v>STK</v>
      </c>
      <c r="C34" s="136"/>
      <c r="D34" s="136">
        <f>IF($N$20=1,V34,IF($N$20=2,T34,IF($N$20=3,AC34,IF($N$20=4,Z34,IF($N$20=5,AA34,IF($N$20=6,AB34,IF($N$20=7,W34,IF($N$20=8,AD34,IF($N$20=9,X34,IF($N$20=10,AE34,IF($N$20=11,Y34,IF($N$20=12,U34,0))))))))))))</f>
        <v>0</v>
      </c>
      <c r="E34" s="283" t="str">
        <f>VLOOKUP("PREFA Quadratrohr mit Reinigungsöffnung",Sprachindex!A:Z,Info!$O$6,FALSE)</f>
        <v>PREFA Quadratrohr mit Reinigungsöffnung</v>
      </c>
      <c r="F34" s="284"/>
      <c r="G34" s="284"/>
      <c r="H34" s="284"/>
      <c r="I34" s="284"/>
      <c r="J34" s="284"/>
      <c r="K34" s="319"/>
      <c r="L34" s="137" t="str">
        <f t="shared" si="0"/>
        <v/>
      </c>
      <c r="M34" s="183"/>
      <c r="N34" s="123"/>
      <c r="O34" s="25"/>
      <c r="P34" s="11"/>
      <c r="Q34" s="11" t="str">
        <f>A34 &amp;" " &amp; VLOOKUP("Stk",Sprachindex!A:Z,Info!$O$6,FALSE)</f>
        <v xml:space="preserve"> STK</v>
      </c>
      <c r="T34" s="95">
        <v>150142</v>
      </c>
      <c r="U34" s="95">
        <v>150140</v>
      </c>
      <c r="V34" s="95">
        <v>150141</v>
      </c>
      <c r="W34" s="95">
        <v>150143</v>
      </c>
      <c r="X34" s="95">
        <v>150144</v>
      </c>
      <c r="Y34" s="95">
        <v>150145</v>
      </c>
      <c r="Z34" s="103"/>
      <c r="AA34" s="103"/>
      <c r="AB34" s="103"/>
      <c r="AC34" s="104"/>
      <c r="AD34" s="103"/>
      <c r="AE34" s="103"/>
    </row>
    <row r="35" spans="1:31" ht="32.1" customHeight="1">
      <c r="A35" s="187"/>
      <c r="B35" s="197" t="str">
        <f>VLOOKUP("STK",Sprachindex!A:Z,Info!$O$6,FALSE)</f>
        <v>STK</v>
      </c>
      <c r="C35" s="141"/>
      <c r="D35" s="141">
        <f>IF(J35=Formeln!A157,345020,IF(J35=Formeln!A158,345021,IF(J35=Formeln!A159,345022,0)))</f>
        <v>0</v>
      </c>
      <c r="E35" s="283" t="str">
        <f>VLOOKUP("PREFA Rohrschellendorn",Sprachindex!A:Z,Info!$O$6,FALSE)</f>
        <v>PREFA Rohrschellendorn</v>
      </c>
      <c r="F35" s="284"/>
      <c r="G35" s="284"/>
      <c r="H35" s="284"/>
      <c r="I35" s="189" t="str">
        <f>VLOOKUP("Dimension wählen:",Sprachindex!A:Z,Info!$O$6,FALSE)</f>
        <v>Dimension wählen:</v>
      </c>
      <c r="J35" s="269"/>
      <c r="K35" s="270"/>
      <c r="L35" s="137" t="str">
        <f t="shared" si="0"/>
        <v/>
      </c>
      <c r="M35" s="183"/>
      <c r="N35" s="123"/>
      <c r="O35" s="25"/>
      <c r="P35" s="11"/>
      <c r="Q35" s="11" t="str">
        <f>A35 &amp;" " &amp; VLOOKUP("Stk",Sprachindex!A:Z,Info!$O$6,FALSE)</f>
        <v xml:space="preserve"> STK</v>
      </c>
      <c r="T35"/>
      <c r="U35"/>
    </row>
    <row r="36" spans="1:31" ht="32.1" customHeight="1">
      <c r="A36" s="187"/>
      <c r="B36" s="197" t="str">
        <f>VLOOKUP("STK",Sprachindex!A:Z,Info!$O$6,FALSE)</f>
        <v>STK</v>
      </c>
      <c r="C36" s="136"/>
      <c r="D36" s="136">
        <v>345015</v>
      </c>
      <c r="E36" s="283" t="str">
        <f>VLOOKUP("PREFA M10 Gewindedorn",Sprachindex!A:Z,Info!$O$6,FALSE)</f>
        <v>PREFA M10 Gewindedorn</v>
      </c>
      <c r="F36" s="284"/>
      <c r="G36" s="284"/>
      <c r="H36" s="284"/>
      <c r="I36" s="284"/>
      <c r="J36" s="284"/>
      <c r="K36" s="319"/>
      <c r="L36" s="137" t="str">
        <f t="shared" si="0"/>
        <v/>
      </c>
      <c r="M36" s="183"/>
      <c r="N36" s="123"/>
      <c r="O36" s="25"/>
      <c r="P36" s="11"/>
      <c r="Q36" s="11" t="str">
        <f>A36 &amp;" " &amp; VLOOKUP("Stk",Sprachindex!A:Z,Info!$O$6,FALSE)</f>
        <v xml:space="preserve"> STK</v>
      </c>
      <c r="U36"/>
    </row>
    <row r="37" spans="1:31" ht="32.1" customHeight="1">
      <c r="A37" s="187"/>
      <c r="B37" s="197" t="str">
        <f>VLOOKUP("STK",Sprachindex!A:Z,Info!$O$6,FALSE)</f>
        <v>STK</v>
      </c>
      <c r="C37" s="136"/>
      <c r="D37" s="136">
        <f>IF(J37=Formeln!A161,420302,IF(J37=Formeln!A162,420303,0))</f>
        <v>0</v>
      </c>
      <c r="E37" s="283" t="str">
        <f>VLOOKUP("PREFA Rohrschellendübel mit Dorn (für WDVS)",Sprachindex!A:Z,Info!$O$6,FALSE)</f>
        <v>PREFA Rohrschellendübel mit Dorn (für WDVS)</v>
      </c>
      <c r="F37" s="284"/>
      <c r="G37" s="284"/>
      <c r="H37" s="284"/>
      <c r="I37" s="189" t="str">
        <f>VLOOKUP("Dimension wählen:",Sprachindex!A:Z,Info!$O$6,FALSE)</f>
        <v>Dimension wählen:</v>
      </c>
      <c r="J37" s="269"/>
      <c r="K37" s="270"/>
      <c r="L37" s="137" t="str">
        <f t="shared" si="0"/>
        <v/>
      </c>
      <c r="M37" s="183"/>
      <c r="N37" s="123"/>
      <c r="O37" s="25"/>
      <c r="P37" s="11"/>
      <c r="Q37" s="11" t="str">
        <f>ROUNDUP(A37/4,0)*4 &amp;" " &amp; VLOOKUP("Stk",Sprachindex!A:Z,Info!$O$6,FALSE)</f>
        <v>0 STK</v>
      </c>
      <c r="U37"/>
    </row>
    <row r="38" spans="1:31" ht="32.1" customHeight="1">
      <c r="A38" s="187"/>
      <c r="B38" s="197" t="str">
        <f>VLOOKUP("STK",Sprachindex!A:Z,Info!$O$6,FALSE)</f>
        <v>STK</v>
      </c>
      <c r="C38" s="136"/>
      <c r="D38" s="136">
        <f>IF(J38=Formeln!A164,420305,IF(J38=Formeln!A165,420306,0))</f>
        <v>0</v>
      </c>
      <c r="E38" s="283" t="str">
        <f>VLOOKUP("PREFA Rohrschellenhalter (für WDVS)",Sprachindex!A:Z,Info!$O$6,FALSE)</f>
        <v>PREFA Rohrschellenhalter (für WDVS)</v>
      </c>
      <c r="F38" s="284"/>
      <c r="G38" s="284"/>
      <c r="H38" s="284"/>
      <c r="I38" s="189" t="str">
        <f>VLOOKUP("Dimension wählen:",Sprachindex!A:Z,Info!$O$6,FALSE)</f>
        <v>Dimension wählen:</v>
      </c>
      <c r="J38" s="269"/>
      <c r="K38" s="270"/>
      <c r="L38" s="137" t="str">
        <f t="shared" si="0"/>
        <v/>
      </c>
      <c r="M38" s="183"/>
      <c r="N38" s="123"/>
      <c r="O38" s="25"/>
      <c r="P38" s="11"/>
      <c r="Q38" s="11" t="str">
        <f>ROUNDUP(A38/4,0)*4 &amp;" " &amp; VLOOKUP("Stk",Sprachindex!A:Z,Info!$O$6,FALSE)</f>
        <v>0 STK</v>
      </c>
      <c r="T38" s="99" t="s">
        <v>702</v>
      </c>
      <c r="U38" s="99" t="s">
        <v>1563</v>
      </c>
      <c r="V38" s="99" t="s">
        <v>3015</v>
      </c>
      <c r="W38" s="99" t="s">
        <v>1570</v>
      </c>
      <c r="X38" s="99" t="s">
        <v>3027</v>
      </c>
      <c r="Y38" s="99" t="s">
        <v>1578</v>
      </c>
      <c r="Z38" s="99" t="s">
        <v>3022</v>
      </c>
      <c r="AA38" s="99" t="s">
        <v>3023</v>
      </c>
      <c r="AB38" s="99" t="s">
        <v>3024</v>
      </c>
      <c r="AC38" s="99" t="s">
        <v>3021</v>
      </c>
      <c r="AD38" s="99" t="s">
        <v>3026</v>
      </c>
      <c r="AE38" s="101" t="s">
        <v>3028</v>
      </c>
    </row>
    <row r="39" spans="1:31" ht="32.1" customHeight="1">
      <c r="A39" s="187"/>
      <c r="B39" s="197" t="str">
        <f>VLOOKUP("STK",Sprachindex!A:Z,Info!$O$6,FALSE)</f>
        <v>STK</v>
      </c>
      <c r="C39" s="136"/>
      <c r="D39" s="136">
        <f>IF($N$20=1,V39,IF($N$20=2,T39,IF($N$20=3,AC39,IF($N$20=4,Z39,IF($N$20=5,AA39,IF($N$20=6,AB39,IF($N$20=7,W39,IF($N$20=8,AD39,IF($N$20=9,X39,IF($N$20=10,AE39,IF($N$20=11,Y39,IF($N$20=12,U39,0))))))))))))</f>
        <v>0</v>
      </c>
      <c r="E39" s="283" t="str">
        <f>VLOOKUP("PREFA Wandmontageplatte",Sprachindex!A:Z,Info!$O$6,FALSE)</f>
        <v>PREFA Wandmontageplatte</v>
      </c>
      <c r="F39" s="284"/>
      <c r="G39" s="284"/>
      <c r="H39" s="284"/>
      <c r="I39" s="284"/>
      <c r="J39" s="284"/>
      <c r="K39" s="319"/>
      <c r="L39" s="137" t="str">
        <f t="shared" si="0"/>
        <v/>
      </c>
      <c r="M39" s="183"/>
      <c r="N39" s="123"/>
      <c r="O39" s="25"/>
      <c r="P39" s="11"/>
      <c r="Q39" s="11" t="str">
        <f>A39 &amp;" " &amp; VLOOKUP("Stk",Sprachindex!A:Z,Info!$O$6,FALSE)</f>
        <v xml:space="preserve"> STK</v>
      </c>
      <c r="T39" s="95">
        <v>529303</v>
      </c>
      <c r="U39" s="95">
        <v>529301</v>
      </c>
      <c r="V39" s="95">
        <v>529302</v>
      </c>
      <c r="W39" s="95">
        <v>529304</v>
      </c>
      <c r="X39" s="95">
        <v>529309</v>
      </c>
      <c r="Y39" s="95">
        <v>529310</v>
      </c>
      <c r="Z39" s="95">
        <v>529305</v>
      </c>
      <c r="AA39" s="95">
        <v>529306</v>
      </c>
      <c r="AB39" s="95">
        <v>529307</v>
      </c>
      <c r="AC39" s="104"/>
      <c r="AD39" s="95">
        <v>529308</v>
      </c>
      <c r="AE39" s="95">
        <v>529311</v>
      </c>
    </row>
    <row r="40" spans="1:31" ht="32.1" customHeight="1">
      <c r="A40" s="187"/>
      <c r="B40" s="197" t="str">
        <f>VLOOKUP("STK",Sprachindex!A:Z,Info!$O$6,FALSE)</f>
        <v>STK</v>
      </c>
      <c r="C40" s="136"/>
      <c r="D40" s="136">
        <v>529502</v>
      </c>
      <c r="E40" s="283" t="str">
        <f>VLOOKUP("PREFA Abdeckkappe für Rohrschellendorn",Sprachindex!A:Z,Info!$O$6,FALSE)</f>
        <v>PREFA Abdeckkappe für Rohrschellendorn</v>
      </c>
      <c r="F40" s="284"/>
      <c r="G40" s="284"/>
      <c r="H40" s="284"/>
      <c r="I40" s="284"/>
      <c r="J40" s="284"/>
      <c r="K40" s="319"/>
      <c r="L40" s="137" t="str">
        <f t="shared" si="0"/>
        <v/>
      </c>
      <c r="M40" s="183"/>
      <c r="N40" s="123"/>
      <c r="O40" s="25"/>
      <c r="P40" s="11"/>
      <c r="Q40" s="11" t="str">
        <f>A40 &amp;" " &amp; VLOOKUP("Stk",Sprachindex!A:Z,Info!$O$6,FALSE)</f>
        <v xml:space="preserve"> STK</v>
      </c>
      <c r="U40"/>
    </row>
    <row r="41" spans="1:31" ht="32.1" customHeight="1">
      <c r="A41" s="187"/>
      <c r="B41" s="173"/>
      <c r="C41" s="173"/>
      <c r="D41" s="173"/>
      <c r="E41" s="298"/>
      <c r="F41" s="299"/>
      <c r="G41" s="299"/>
      <c r="H41" s="299"/>
      <c r="I41" s="299"/>
      <c r="J41" s="299"/>
      <c r="K41" s="300"/>
      <c r="L41" s="173"/>
      <c r="M41" s="174"/>
      <c r="N41" s="123"/>
      <c r="O41" s="25"/>
      <c r="P41" s="11"/>
      <c r="Q41" s="11"/>
      <c r="U41"/>
    </row>
    <row r="42" spans="1:31" ht="32.1" customHeight="1">
      <c r="A42" s="187"/>
      <c r="B42" s="173"/>
      <c r="C42" s="173"/>
      <c r="D42" s="173"/>
      <c r="E42" s="298"/>
      <c r="F42" s="299"/>
      <c r="G42" s="299"/>
      <c r="H42" s="299"/>
      <c r="I42" s="299"/>
      <c r="J42" s="299"/>
      <c r="K42" s="300"/>
      <c r="L42" s="173"/>
      <c r="M42" s="174"/>
      <c r="N42" s="123"/>
      <c r="O42" s="25"/>
      <c r="P42" s="11"/>
      <c r="Q42" s="11"/>
    </row>
    <row r="43" spans="1:31" ht="32.1" customHeight="1" thickBot="1">
      <c r="A43" s="175"/>
      <c r="B43" s="176"/>
      <c r="C43" s="176"/>
      <c r="D43" s="176"/>
      <c r="E43" s="301"/>
      <c r="F43" s="302"/>
      <c r="G43" s="302"/>
      <c r="H43" s="302"/>
      <c r="I43" s="302"/>
      <c r="J43" s="302"/>
      <c r="K43" s="303"/>
      <c r="L43" s="173"/>
      <c r="M43" s="177"/>
      <c r="N43" s="123"/>
      <c r="O43" s="25"/>
      <c r="P43" s="11"/>
      <c r="Q43" s="11"/>
    </row>
    <row r="44" spans="1:31" ht="15" customHeight="1">
      <c r="A44" s="123"/>
      <c r="B44" s="123"/>
      <c r="C44" s="123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123"/>
    </row>
    <row r="45" spans="1:31" ht="16.899999999999999">
      <c r="A45" s="123"/>
      <c r="B45" s="123"/>
      <c r="C45" s="153" t="str">
        <f>VLOOKUP("Zusatzvermerk:",Sprachindex!A:Z,Info!$O$6,FALSE)</f>
        <v>Zusatzvermerk:</v>
      </c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123"/>
    </row>
    <row r="46" spans="1:31" ht="16.899999999999999">
      <c r="A46" s="123"/>
      <c r="B46" s="123"/>
      <c r="C46" s="123"/>
      <c r="D46" s="278"/>
      <c r="E46" s="278"/>
      <c r="F46" s="278"/>
      <c r="G46" s="278"/>
      <c r="H46" s="278"/>
      <c r="I46" s="278"/>
      <c r="J46" s="278"/>
      <c r="K46" s="278"/>
      <c r="L46" s="278"/>
      <c r="M46" s="278"/>
      <c r="N46" s="123"/>
    </row>
    <row r="47" spans="1:31" ht="16.899999999999999">
      <c r="A47" s="123"/>
      <c r="B47" s="123"/>
      <c r="C47" s="123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123"/>
    </row>
    <row r="48" spans="1:31" ht="16.899999999999999">
      <c r="A48" s="123"/>
      <c r="B48" s="123"/>
      <c r="C48" s="123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123"/>
    </row>
    <row r="49" spans="1:15" ht="16.899999999999999">
      <c r="A49" s="123"/>
      <c r="B49" s="123"/>
      <c r="C49" s="123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123"/>
    </row>
    <row r="50" spans="1:15" ht="16.899999999999999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</row>
    <row r="51" spans="1:15" ht="16.899999999999999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</row>
    <row r="52" spans="1:15" ht="16.899999999999999">
      <c r="A52" s="154" t="str">
        <f>VLOOKUP("Anwendungstechnik",Sprachindex!A:Z,Info!$O$6,FALSE)</f>
        <v>Anwendungstechnik</v>
      </c>
      <c r="B52" s="155"/>
      <c r="C52" s="155"/>
      <c r="D52" s="263"/>
      <c r="E52" s="263"/>
      <c r="F52" s="263"/>
      <c r="G52" s="263"/>
      <c r="H52" s="263"/>
      <c r="I52" s="263"/>
      <c r="J52" s="263"/>
      <c r="K52" s="156" t="str">
        <f>VLOOKUP("Stand:",Sprachindex!A:Z,Info!$O$6,FALSE)</f>
        <v>Stand:</v>
      </c>
      <c r="L52" s="281">
        <v>43182</v>
      </c>
      <c r="M52" s="282"/>
      <c r="N52" s="123"/>
      <c r="O52" s="12" t="str">
        <f>VLOOKUP("Vielen Dank für Ihre Mengenermittlung",Sprachindex!A:Z,Info!$O$6,FALSE)</f>
        <v>Vielen Dank für Ihre Mengenermittlung</v>
      </c>
    </row>
    <row r="53" spans="1:15" ht="13.5"/>
    <row r="54" spans="1:15" ht="13.5" hidden="1"/>
    <row r="55" spans="1:15" ht="13.5" hidden="1"/>
    <row r="56" spans="1:15" ht="13.5" hidden="1"/>
    <row r="57" spans="1:15" ht="13.5" hidden="1"/>
    <row r="58" spans="1:15" ht="13.5" hidden="1"/>
    <row r="59" spans="1:15" ht="13.5" hidden="1"/>
    <row r="60" spans="1:15" ht="13.5" hidden="1"/>
    <row r="61" spans="1:15" ht="13.5" hidden="1"/>
    <row r="62" spans="1:15" ht="13.5" hidden="1"/>
    <row r="63" spans="1:15" ht="13.5" hidden="1"/>
    <row r="64" spans="1:15" ht="13.5" hidden="1"/>
    <row r="65" ht="13.5" hidden="1"/>
    <row r="66" ht="13.5" hidden="1"/>
    <row r="67" ht="13.5" hidden="1"/>
    <row r="68" ht="13.5" hidden="1"/>
    <row r="69" ht="13.5" hidden="1"/>
    <row r="70" ht="13.5" hidden="1"/>
    <row r="71" ht="13.5" hidden="1"/>
    <row r="72" ht="13.5" hidden="1"/>
    <row r="73" ht="13.5" hidden="1"/>
    <row r="74" ht="13.5" hidden="1"/>
    <row r="75" ht="13.5" hidden="1"/>
    <row r="76" ht="13.5" hidden="1"/>
    <row r="77" ht="13.5" hidden="1"/>
    <row r="78" ht="13.5" hidden="1"/>
    <row r="79" ht="13.5" hidden="1"/>
    <row r="80" ht="13.5" hidden="1"/>
    <row r="81" ht="13.5" hidden="1"/>
    <row r="82" ht="13.5" hidden="1"/>
    <row r="83" ht="13.5" hidden="1"/>
    <row r="84" ht="13.5" hidden="1"/>
    <row r="85" ht="13.5" hidden="1"/>
    <row r="86" ht="13.5" hidden="1"/>
    <row r="87" ht="13.5" hidden="1"/>
    <row r="88" ht="13.5" hidden="1"/>
    <row r="89" ht="13.5" hidden="1"/>
    <row r="90" ht="13.5" hidden="1"/>
    <row r="91" ht="13.5" hidden="1"/>
    <row r="92" ht="13.5" hidden="1"/>
    <row r="93" ht="13.5" hidden="1"/>
    <row r="94" ht="13.5" hidden="1"/>
    <row r="95" ht="13.5" hidden="1"/>
    <row r="96" ht="13.5" hidden="1"/>
    <row r="97" ht="13.5" hidden="1"/>
    <row r="98" ht="13.5" hidden="1"/>
    <row r="99" ht="13.5" hidden="1"/>
    <row r="100" ht="13.5" hidden="1"/>
    <row r="101" ht="13.5" hidden="1"/>
    <row r="102" ht="13.5" hidden="1"/>
    <row r="103" ht="13.5" hidden="1"/>
    <row r="104" ht="13.5" hidden="1"/>
    <row r="105" ht="13.5" hidden="1"/>
    <row r="106" ht="13.5" hidden="1"/>
    <row r="107" ht="13.5" hidden="1"/>
    <row r="108" ht="13.5" hidden="1"/>
    <row r="109" ht="13.5" hidden="1"/>
    <row r="110" ht="13.5" hidden="1"/>
    <row r="111" ht="13.5" hidden="1"/>
    <row r="112" ht="13.5" hidden="1"/>
    <row r="113" ht="13.5" hidden="1"/>
    <row r="114" ht="13.5" hidden="1"/>
  </sheetData>
  <sheetProtection algorithmName="SHA-512" hashValue="ZkHd18vFI+kc4HbYBk1zdf3/FyDDH3k0hdYb+s+UGFzJuj9yzSHyRfD7hSpj725O8mvpyGLe2gySzSu4ns4syg==" saltValue="gYtwnT0MtnWs8VkqNvN2pg==" spinCount="100000" sheet="1" objects="1" scenarios="1" selectLockedCells="1" autoFilter="0"/>
  <protectedRanges>
    <protectedRange password="DEBF" sqref="P24:Q40" name="darf vom Benutzer nicht verändert werden_1_2"/>
    <protectedRange password="DEBF" sqref="P41:Q43" name="darf vom Benutzer nicht verändert werden_1_5"/>
    <protectedRange password="DEBF" sqref="R24:R32" name="darf vom Benutzer nicht verändert werden_1_12"/>
  </protectedRanges>
  <autoFilter ref="A22:A43"/>
  <mergeCells count="47">
    <mergeCell ref="D52:J52"/>
    <mergeCell ref="E40:K40"/>
    <mergeCell ref="E41:K41"/>
    <mergeCell ref="E42:K42"/>
    <mergeCell ref="E43:K43"/>
    <mergeCell ref="D48:M49"/>
    <mergeCell ref="D46:M47"/>
    <mergeCell ref="D44:M45"/>
    <mergeCell ref="L52:M52"/>
    <mergeCell ref="E39:K39"/>
    <mergeCell ref="E31:K31"/>
    <mergeCell ref="E32:G32"/>
    <mergeCell ref="I32:K32"/>
    <mergeCell ref="E33:K33"/>
    <mergeCell ref="E34:K34"/>
    <mergeCell ref="E35:H35"/>
    <mergeCell ref="J35:K35"/>
    <mergeCell ref="E36:K36"/>
    <mergeCell ref="E37:H37"/>
    <mergeCell ref="J37:K37"/>
    <mergeCell ref="E38:H38"/>
    <mergeCell ref="J38:K38"/>
    <mergeCell ref="E30:G30"/>
    <mergeCell ref="I30:K30"/>
    <mergeCell ref="C20:E20"/>
    <mergeCell ref="B22:E22"/>
    <mergeCell ref="E23:K23"/>
    <mergeCell ref="E24:G24"/>
    <mergeCell ref="H24:I24"/>
    <mergeCell ref="J24:K24"/>
    <mergeCell ref="E25:K25"/>
    <mergeCell ref="E26:K26"/>
    <mergeCell ref="E27:K27"/>
    <mergeCell ref="E28:K28"/>
    <mergeCell ref="E29:K29"/>
    <mergeCell ref="K6:M6"/>
    <mergeCell ref="K4:M4"/>
    <mergeCell ref="K5:M5"/>
    <mergeCell ref="C19:E19"/>
    <mergeCell ref="C8:E8"/>
    <mergeCell ref="C9:E9"/>
    <mergeCell ref="C10:E10"/>
    <mergeCell ref="C12:E12"/>
    <mergeCell ref="C13:E13"/>
    <mergeCell ref="C14:E14"/>
    <mergeCell ref="C17:E17"/>
    <mergeCell ref="C18:E18"/>
  </mergeCells>
  <conditionalFormatting sqref="K17">
    <cfRule type="expression" dxfId="206" priority="82">
      <formula>$N$20=13</formula>
    </cfRule>
  </conditionalFormatting>
  <conditionalFormatting sqref="K16">
    <cfRule type="expression" dxfId="205" priority="83">
      <formula>$N$20=13</formula>
    </cfRule>
  </conditionalFormatting>
  <conditionalFormatting sqref="L18">
    <cfRule type="expression" dxfId="204" priority="81">
      <formula>$N$20=14</formula>
    </cfRule>
  </conditionalFormatting>
  <conditionalFormatting sqref="C8:E8">
    <cfRule type="cellIs" dxfId="203" priority="74" operator="equal">
      <formula>""</formula>
    </cfRule>
  </conditionalFormatting>
  <conditionalFormatting sqref="C9:E9">
    <cfRule type="cellIs" dxfId="202" priority="73" operator="equal">
      <formula>""</formula>
    </cfRule>
  </conditionalFormatting>
  <conditionalFormatting sqref="C10:E10">
    <cfRule type="cellIs" dxfId="201" priority="72" operator="equal">
      <formula>""</formula>
    </cfRule>
  </conditionalFormatting>
  <conditionalFormatting sqref="C12:E12">
    <cfRule type="cellIs" dxfId="200" priority="71" operator="equal">
      <formula>""</formula>
    </cfRule>
  </conditionalFormatting>
  <conditionalFormatting sqref="C13:E13">
    <cfRule type="cellIs" dxfId="199" priority="70" operator="equal">
      <formula>""</formula>
    </cfRule>
  </conditionalFormatting>
  <conditionalFormatting sqref="C14:E14">
    <cfRule type="cellIs" dxfId="198" priority="69" operator="equal">
      <formula>""</formula>
    </cfRule>
  </conditionalFormatting>
  <conditionalFormatting sqref="C17:E17">
    <cfRule type="cellIs" dxfId="197" priority="68" operator="equal">
      <formula>""</formula>
    </cfRule>
  </conditionalFormatting>
  <conditionalFormatting sqref="C18:E18">
    <cfRule type="cellIs" dxfId="196" priority="67" operator="equal">
      <formula>""</formula>
    </cfRule>
  </conditionalFormatting>
  <conditionalFormatting sqref="C19:E19">
    <cfRule type="cellIs" dxfId="195" priority="66" operator="equal">
      <formula>""</formula>
    </cfRule>
  </conditionalFormatting>
  <conditionalFormatting sqref="C20:E20">
    <cfRule type="cellIs" dxfId="194" priority="65" operator="equal">
      <formula>""</formula>
    </cfRule>
  </conditionalFormatting>
  <conditionalFormatting sqref="K4">
    <cfRule type="cellIs" dxfId="193" priority="64" operator="equal">
      <formula>""</formula>
    </cfRule>
  </conditionalFormatting>
  <conditionalFormatting sqref="K5">
    <cfRule type="cellIs" dxfId="192" priority="63" operator="equal">
      <formula>""</formula>
    </cfRule>
  </conditionalFormatting>
  <conditionalFormatting sqref="K6">
    <cfRule type="cellIs" dxfId="191" priority="62" operator="equal">
      <formula>""</formula>
    </cfRule>
  </conditionalFormatting>
  <conditionalFormatting sqref="A24">
    <cfRule type="cellIs" dxfId="190" priority="61" operator="equal">
      <formula>0</formula>
    </cfRule>
  </conditionalFormatting>
  <conditionalFormatting sqref="A25">
    <cfRule type="cellIs" dxfId="189" priority="60" operator="equal">
      <formula>0</formula>
    </cfRule>
  </conditionalFormatting>
  <conditionalFormatting sqref="A26">
    <cfRule type="cellIs" dxfId="188" priority="59" operator="equal">
      <formula>0</formula>
    </cfRule>
  </conditionalFormatting>
  <conditionalFormatting sqref="A27">
    <cfRule type="cellIs" dxfId="187" priority="58" operator="equal">
      <formula>0</formula>
    </cfRule>
  </conditionalFormatting>
  <conditionalFormatting sqref="A28">
    <cfRule type="cellIs" dxfId="186" priority="57" operator="equal">
      <formula>0</formula>
    </cfRule>
  </conditionalFormatting>
  <conditionalFormatting sqref="A29">
    <cfRule type="cellIs" dxfId="185" priority="56" operator="equal">
      <formula>0</formula>
    </cfRule>
  </conditionalFormatting>
  <conditionalFormatting sqref="A30">
    <cfRule type="cellIs" dxfId="184" priority="55" operator="equal">
      <formula>0</formula>
    </cfRule>
  </conditionalFormatting>
  <conditionalFormatting sqref="A31">
    <cfRule type="cellIs" dxfId="183" priority="54" operator="equal">
      <formula>0</formula>
    </cfRule>
  </conditionalFormatting>
  <conditionalFormatting sqref="A32">
    <cfRule type="cellIs" dxfId="182" priority="53" operator="equal">
      <formula>0</formula>
    </cfRule>
  </conditionalFormatting>
  <conditionalFormatting sqref="A33">
    <cfRule type="cellIs" dxfId="181" priority="52" operator="equal">
      <formula>0</formula>
    </cfRule>
  </conditionalFormatting>
  <conditionalFormatting sqref="A34">
    <cfRule type="cellIs" dxfId="180" priority="51" operator="equal">
      <formula>0</formula>
    </cfRule>
  </conditionalFormatting>
  <conditionalFormatting sqref="A35">
    <cfRule type="cellIs" dxfId="179" priority="50" operator="equal">
      <formula>0</formula>
    </cfRule>
  </conditionalFormatting>
  <conditionalFormatting sqref="A36">
    <cfRule type="cellIs" dxfId="178" priority="49" operator="equal">
      <formula>0</formula>
    </cfRule>
  </conditionalFormatting>
  <conditionalFormatting sqref="A37">
    <cfRule type="cellIs" dxfId="177" priority="48" operator="equal">
      <formula>0</formula>
    </cfRule>
  </conditionalFormatting>
  <conditionalFormatting sqref="A38">
    <cfRule type="cellIs" dxfId="176" priority="47" operator="equal">
      <formula>0</formula>
    </cfRule>
  </conditionalFormatting>
  <conditionalFormatting sqref="A39">
    <cfRule type="cellIs" dxfId="175" priority="46" operator="equal">
      <formula>0</formula>
    </cfRule>
  </conditionalFormatting>
  <conditionalFormatting sqref="A40">
    <cfRule type="cellIs" dxfId="174" priority="45" operator="equal">
      <formula>0</formula>
    </cfRule>
  </conditionalFormatting>
  <conditionalFormatting sqref="A41">
    <cfRule type="cellIs" dxfId="173" priority="44" operator="equal">
      <formula>0</formula>
    </cfRule>
  </conditionalFormatting>
  <conditionalFormatting sqref="A42">
    <cfRule type="cellIs" dxfId="172" priority="43" operator="equal">
      <formula>0</formula>
    </cfRule>
  </conditionalFormatting>
  <conditionalFormatting sqref="A43">
    <cfRule type="cellIs" dxfId="171" priority="42" operator="equal">
      <formula>0</formula>
    </cfRule>
  </conditionalFormatting>
  <conditionalFormatting sqref="B41">
    <cfRule type="cellIs" dxfId="170" priority="22" operator="equal">
      <formula>0</formula>
    </cfRule>
  </conditionalFormatting>
  <conditionalFormatting sqref="B42">
    <cfRule type="cellIs" dxfId="169" priority="21" operator="equal">
      <formula>0</formula>
    </cfRule>
  </conditionalFormatting>
  <conditionalFormatting sqref="B43">
    <cfRule type="cellIs" dxfId="168" priority="20" operator="equal">
      <formula>0</formula>
    </cfRule>
  </conditionalFormatting>
  <conditionalFormatting sqref="C43">
    <cfRule type="cellIs" dxfId="167" priority="19" operator="equal">
      <formula>0</formula>
    </cfRule>
  </conditionalFormatting>
  <conditionalFormatting sqref="C42">
    <cfRule type="cellIs" dxfId="166" priority="18" operator="equal">
      <formula>0</formula>
    </cfRule>
  </conditionalFormatting>
  <conditionalFormatting sqref="C41">
    <cfRule type="cellIs" dxfId="165" priority="17" operator="equal">
      <formula>0</formula>
    </cfRule>
  </conditionalFormatting>
  <conditionalFormatting sqref="M41">
    <cfRule type="cellIs" dxfId="164" priority="16" operator="equal">
      <formula>0</formula>
    </cfRule>
  </conditionalFormatting>
  <conditionalFormatting sqref="M42">
    <cfRule type="cellIs" dxfId="163" priority="15" operator="equal">
      <formula>0</formula>
    </cfRule>
  </conditionalFormatting>
  <conditionalFormatting sqref="M43">
    <cfRule type="cellIs" dxfId="162" priority="14" operator="equal">
      <formula>0</formula>
    </cfRule>
  </conditionalFormatting>
  <conditionalFormatting sqref="L41">
    <cfRule type="cellIs" dxfId="161" priority="13" operator="equal">
      <formula>0</formula>
    </cfRule>
  </conditionalFormatting>
  <conditionalFormatting sqref="L42">
    <cfRule type="cellIs" dxfId="160" priority="12" operator="equal">
      <formula>0</formula>
    </cfRule>
  </conditionalFormatting>
  <conditionalFormatting sqref="L43">
    <cfRule type="cellIs" dxfId="159" priority="11" operator="equal">
      <formula>0</formula>
    </cfRule>
  </conditionalFormatting>
  <conditionalFormatting sqref="E41">
    <cfRule type="cellIs" dxfId="158" priority="10" operator="equal">
      <formula>0</formula>
    </cfRule>
  </conditionalFormatting>
  <conditionalFormatting sqref="E42">
    <cfRule type="cellIs" dxfId="157" priority="9" operator="equal">
      <formula>0</formula>
    </cfRule>
  </conditionalFormatting>
  <conditionalFormatting sqref="E43">
    <cfRule type="cellIs" dxfId="156" priority="8" operator="equal">
      <formula>0</formula>
    </cfRule>
  </conditionalFormatting>
  <conditionalFormatting sqref="D43">
    <cfRule type="cellIs" dxfId="155" priority="7" operator="equal">
      <formula>0</formula>
    </cfRule>
  </conditionalFormatting>
  <conditionalFormatting sqref="D42">
    <cfRule type="cellIs" dxfId="154" priority="6" operator="equal">
      <formula>0</formula>
    </cfRule>
  </conditionalFormatting>
  <conditionalFormatting sqref="D41">
    <cfRule type="cellIs" dxfId="153" priority="5" operator="equal">
      <formula>0</formula>
    </cfRule>
  </conditionalFormatting>
  <conditionalFormatting sqref="I12">
    <cfRule type="expression" dxfId="152" priority="1">
      <formula>$N$12=2</formula>
    </cfRule>
    <cfRule type="expression" dxfId="151" priority="4">
      <formula>$N$12=1</formula>
    </cfRule>
  </conditionalFormatting>
  <conditionalFormatting sqref="L12">
    <cfRule type="expression" dxfId="150" priority="2">
      <formula>$N$12=1</formula>
    </cfRule>
    <cfRule type="expression" dxfId="149" priority="3">
      <formula>$N$12=2</formula>
    </cfRule>
  </conditionalFormatting>
  <pageMargins left="0.39370078740157483" right="0.19685039370078741" top="0.31496062992125984" bottom="0.31496062992125984" header="0.31496062992125984" footer="0.31496062992125984"/>
  <pageSetup paperSize="9" scale="62" fitToHeight="0" orientation="portrait" r:id="rId1"/>
  <drawing r:id="rId2"/>
  <legacyDrawing r:id="rId3"/>
  <oleObjects>
    <mc:AlternateContent xmlns:mc="http://schemas.openxmlformats.org/markup-compatibility/2006">
      <mc:Choice Requires="x14">
        <oleObject shapeId="58398" r:id="rId4">
          <objectPr defaultSize="0" autoPict="0" r:id="rId5">
            <anchor moveWithCells="1" sizeWithCells="1">
              <from>
                <xdr:col>2</xdr:col>
                <xdr:colOff>76200</xdr:colOff>
                <xdr:row>36</xdr:row>
                <xdr:rowOff>85725</xdr:rowOff>
              </from>
              <to>
                <xdr:col>2</xdr:col>
                <xdr:colOff>685800</xdr:colOff>
                <xdr:row>36</xdr:row>
                <xdr:rowOff>333375</xdr:rowOff>
              </to>
            </anchor>
          </objectPr>
        </oleObject>
      </mc:Choice>
      <mc:Fallback>
        <oleObject shapeId="58398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6" name="Group Box 1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7</xdr:row>
                    <xdr:rowOff>0</xdr:rowOff>
                  </from>
                  <to>
                    <xdr:col>12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7" name="Group Box 3">
              <controlPr defaultSize="0" print="0" autoFill="0" autoPict="0" altText="">
                <anchor moveWithCells="1">
                  <from>
                    <xdr:col>5</xdr:col>
                    <xdr:colOff>561975</xdr:colOff>
                    <xdr:row>13</xdr:row>
                    <xdr:rowOff>0</xdr:rowOff>
                  </from>
                  <to>
                    <xdr:col>12</xdr:col>
                    <xdr:colOff>419100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8" name="Group Box 9">
              <controlPr defaultSize="0" print="0" autoFill="0" autoPict="0">
                <anchor moveWithCells="1">
                  <from>
                    <xdr:col>5</xdr:col>
                    <xdr:colOff>571500</xdr:colOff>
                    <xdr:row>11</xdr:row>
                    <xdr:rowOff>0</xdr:rowOff>
                  </from>
                  <to>
                    <xdr:col>12</xdr:col>
                    <xdr:colOff>419100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9" name="Option Button 15">
              <controlPr defaultSize="0" autoFill="0" autoLine="0" autoPict="0">
                <anchor moveWithCells="1">
                  <from>
                    <xdr:col>10</xdr:col>
                    <xdr:colOff>571500</xdr:colOff>
                    <xdr:row>7</xdr:row>
                    <xdr:rowOff>19050</xdr:rowOff>
                  </from>
                  <to>
                    <xdr:col>11</xdr:col>
                    <xdr:colOff>323850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5" r:id="rId10" name="Option Button 17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14</xdr:row>
                    <xdr:rowOff>19050</xdr:rowOff>
                  </from>
                  <to>
                    <xdr:col>7</xdr:col>
                    <xdr:colOff>171450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6" r:id="rId11" name="Option Button 18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15</xdr:row>
                    <xdr:rowOff>19050</xdr:rowOff>
                  </from>
                  <to>
                    <xdr:col>7</xdr:col>
                    <xdr:colOff>171450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7" r:id="rId12" name="Option Button 19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16</xdr:row>
                    <xdr:rowOff>19050</xdr:rowOff>
                  </from>
                  <to>
                    <xdr:col>7</xdr:col>
                    <xdr:colOff>171450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8" r:id="rId13" name="Option Button 20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17</xdr:row>
                    <xdr:rowOff>19050</xdr:rowOff>
                  </from>
                  <to>
                    <xdr:col>7</xdr:col>
                    <xdr:colOff>171450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9" r:id="rId14" name="Option Button 21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18</xdr:row>
                    <xdr:rowOff>19050</xdr:rowOff>
                  </from>
                  <to>
                    <xdr:col>7</xdr:col>
                    <xdr:colOff>171450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0" r:id="rId15" name="Option Button 22">
              <controlPr defaultSize="0" autoFill="0" autoLine="0" autoPict="0" altText="">
                <anchor moveWithCells="1">
                  <from>
                    <xdr:col>5</xdr:col>
                    <xdr:colOff>561975</xdr:colOff>
                    <xdr:row>19</xdr:row>
                    <xdr:rowOff>19050</xdr:rowOff>
                  </from>
                  <to>
                    <xdr:col>7</xdr:col>
                    <xdr:colOff>171450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1" r:id="rId16" name="Option Button 23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14</xdr:row>
                    <xdr:rowOff>19050</xdr:rowOff>
                  </from>
                  <to>
                    <xdr:col>8</xdr:col>
                    <xdr:colOff>809625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2" r:id="rId17" name="Option Button 24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15</xdr:row>
                    <xdr:rowOff>19050</xdr:rowOff>
                  </from>
                  <to>
                    <xdr:col>8</xdr:col>
                    <xdr:colOff>809625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3" r:id="rId18" name="Option Button 25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16</xdr:row>
                    <xdr:rowOff>19050</xdr:rowOff>
                  </from>
                  <to>
                    <xdr:col>8</xdr:col>
                    <xdr:colOff>809625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4" r:id="rId19" name="Option Button 26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17</xdr:row>
                    <xdr:rowOff>19050</xdr:rowOff>
                  </from>
                  <to>
                    <xdr:col>8</xdr:col>
                    <xdr:colOff>809625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5" r:id="rId20" name="Option Button 27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18</xdr:row>
                    <xdr:rowOff>19050</xdr:rowOff>
                  </from>
                  <to>
                    <xdr:col>8</xdr:col>
                    <xdr:colOff>809625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6" r:id="rId21" name="Option Button 28">
              <controlPr defaultSize="0" autoFill="0" autoLine="0" autoPict="0" altText="">
                <anchor moveWithCells="1">
                  <from>
                    <xdr:col>7</xdr:col>
                    <xdr:colOff>666750</xdr:colOff>
                    <xdr:row>19</xdr:row>
                    <xdr:rowOff>19050</xdr:rowOff>
                  </from>
                  <to>
                    <xdr:col>8</xdr:col>
                    <xdr:colOff>809625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9" r:id="rId22" name="Option Button 31">
              <controlPr defaultSize="0" autoFill="0" autoLine="0" autoPict="0">
                <anchor moveWithCells="1">
                  <from>
                    <xdr:col>7</xdr:col>
                    <xdr:colOff>676275</xdr:colOff>
                    <xdr:row>11</xdr:row>
                    <xdr:rowOff>28575</xdr:rowOff>
                  </from>
                  <to>
                    <xdr:col>9</xdr:col>
                    <xdr:colOff>133350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0" r:id="rId23" name="Option Button 32">
              <controlPr defaultSize="0" autoFill="0" autoLine="0" autoPict="0">
                <anchor moveWithCells="1">
                  <from>
                    <xdr:col>10</xdr:col>
                    <xdr:colOff>571500</xdr:colOff>
                    <xdr:row>11</xdr:row>
                    <xdr:rowOff>19050</xdr:rowOff>
                  </from>
                  <to>
                    <xdr:col>11</xdr:col>
                    <xdr:colOff>619125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" id="{5C50FB8B-B0EC-4E2C-9FD4-DD253E10C97B}">
            <xm:f>$J$24=Formeln!$A$1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J24:K24</xm:sqref>
        </x14:conditionalFormatting>
        <x14:conditionalFormatting xmlns:xm="http://schemas.microsoft.com/office/excel/2006/main">
          <x14:cfRule type="expression" priority="27" id="{689827F2-6E28-4BAE-AB35-8CF9935C663E}">
            <xm:f>$I$30=Formeln!$A$1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I30:K30</xm:sqref>
        </x14:conditionalFormatting>
        <x14:conditionalFormatting xmlns:xm="http://schemas.microsoft.com/office/excel/2006/main">
          <x14:cfRule type="expression" priority="26" id="{2148FE14-D713-4C73-A8C4-1F5EC43C6651}">
            <xm:f>$I$32=Formeln!$A$1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I32:K32</xm:sqref>
        </x14:conditionalFormatting>
        <x14:conditionalFormatting xmlns:xm="http://schemas.microsoft.com/office/excel/2006/main">
          <x14:cfRule type="expression" priority="25" id="{1117D1B9-FF1A-4C51-A198-486F6DA3CA91}">
            <xm:f>$J$35=Formeln!$A$1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J35:K35</xm:sqref>
        </x14:conditionalFormatting>
        <x14:conditionalFormatting xmlns:xm="http://schemas.microsoft.com/office/excel/2006/main">
          <x14:cfRule type="expression" priority="24" id="{89637C20-31D6-47E0-9F2C-37481EBB55A4}">
            <xm:f>$J$37=Formeln!$A$1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J37:K37</xm:sqref>
        </x14:conditionalFormatting>
        <x14:conditionalFormatting xmlns:xm="http://schemas.microsoft.com/office/excel/2006/main">
          <x14:cfRule type="expression" priority="23" id="{943902EC-61B0-45F0-8668-53735D01A83C}">
            <xm:f>$J$38=Formeln!$A$1</xm:f>
            <x14:dxf>
              <fill>
                <patternFill>
                  <bgColor theme="0" tint="-0.14996795556505021"/>
                </patternFill>
              </fill>
            </x14:dxf>
          </x14:cfRule>
          <xm:sqref>J38:K38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6">
        <x14:dataValidation type="list" allowBlank="1" showInputMessage="1" showErrorMessage="1">
          <x14:formula1>
            <xm:f>Formeln!$A$163:$A$165</xm:f>
          </x14:formula1>
          <xm:sqref>J38:K38</xm:sqref>
        </x14:dataValidation>
        <x14:dataValidation type="list" allowBlank="1" showInputMessage="1" showErrorMessage="1">
          <x14:formula1>
            <xm:f>Formeln!$A$160:$A$162</xm:f>
          </x14:formula1>
          <xm:sqref>J37:K37</xm:sqref>
        </x14:dataValidation>
        <x14:dataValidation type="list" allowBlank="1" showInputMessage="1" showErrorMessage="1">
          <x14:formula1>
            <xm:f>Formeln!$A$156:$A$159</xm:f>
          </x14:formula1>
          <xm:sqref>J35:K35</xm:sqref>
        </x14:dataValidation>
        <x14:dataValidation type="list" allowBlank="1" showInputMessage="1" showErrorMessage="1">
          <x14:formula1>
            <xm:f>Formeln!$A$153:$A$155</xm:f>
          </x14:formula1>
          <xm:sqref>I32:K32</xm:sqref>
        </x14:dataValidation>
        <x14:dataValidation type="list" allowBlank="1" showInputMessage="1" showErrorMessage="1">
          <x14:formula1>
            <xm:f>Formeln!$A$150:$A$152</xm:f>
          </x14:formula1>
          <xm:sqref>I30:K30</xm:sqref>
        </x14:dataValidation>
        <x14:dataValidation type="list" allowBlank="1" showInputMessage="1" showErrorMessage="1">
          <x14:formula1>
            <xm:f>Formeln!$A$147:$A$149</xm:f>
          </x14:formula1>
          <xm:sqref>J24:K24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Info</vt:lpstr>
      <vt:lpstr>DP</vt:lpstr>
      <vt:lpstr>DS</vt:lpstr>
      <vt:lpstr>R.16</vt:lpstr>
      <vt:lpstr>DR44x44</vt:lpstr>
      <vt:lpstr>DR29x29</vt:lpstr>
      <vt:lpstr>FX.12</vt:lpstr>
      <vt:lpstr>PR</vt:lpstr>
      <vt:lpstr>QR</vt:lpstr>
      <vt:lpstr>RI</vt:lpstr>
      <vt:lpstr>Formeln</vt:lpstr>
      <vt:lpstr>Sprachindex</vt:lpstr>
      <vt:lpstr>Info!Druckbereich</vt:lpstr>
      <vt:lpstr>R.16!Druckbereich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2018-05-08T12:58:58Z</dcterms:modified>
</cp:coreProperties>
</file>